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455" yWindow="255" windowWidth="20580" windowHeight="11160" firstSheet="17" activeTab="25"/>
  </bookViews>
  <sheets>
    <sheet name="MISC_utland_anv_ej" sheetId="28" r:id="rId1"/>
    <sheet name="MISC_anv_ej" sheetId="39" r:id="rId2"/>
    <sheet name="WMU" sheetId="25" r:id="rId3"/>
    <sheet name="MISC" sheetId="27" r:id="rId4"/>
    <sheet name="PRIVAT SC 0 fakt" sheetId="20" r:id="rId5"/>
    <sheet name="PRIVAT&lt;1mil" sheetId="19" r:id="rId6"/>
    <sheet name="PRIVAT&gt;1mil" sheetId="3" r:id="rId7"/>
    <sheet name="CSO_utländska" sheetId="17" r:id="rId8"/>
    <sheet name="CSO u bidrag" sheetId="1" r:id="rId9"/>
    <sheet name="CSO_1milj-" sheetId="15" r:id="rId10"/>
    <sheet name="RödaKorsetberäkn_CSO_övr_1milj" sheetId="40" r:id="rId11"/>
    <sheet name="CSO_övr_1milj+" sheetId="12" r:id="rId12"/>
    <sheet name="CSO_SMR" sheetId="16" r:id="rId13"/>
    <sheet name="CSO_FS_1milj+" sheetId="14" r:id="rId14"/>
    <sheet name="CSO_PAO" sheetId="13" r:id="rId15"/>
    <sheet name="CSO_RAM" sheetId="8" r:id="rId16"/>
    <sheet name="CSO_TOTALER" sheetId="18" r:id="rId17"/>
    <sheet name="SRL" sheetId="10" r:id="rId18"/>
    <sheet name="U-forsk" sheetId="9" r:id="rId19"/>
    <sheet name="EDU utrakningar" sheetId="23" r:id="rId20"/>
    <sheet name="EDU bokf" sheetId="22" r:id="rId21"/>
    <sheet name="OFFSEKT_ovrigt" sheetId="7" r:id="rId22"/>
    <sheet name="GOV utrakningar" sheetId="24" r:id="rId23"/>
    <sheet name="GOV bokf" sheetId="11" r:id="rId24"/>
    <sheet name="Uppsala_Studieavgiftsberäkning" sheetId="21" r:id="rId25"/>
    <sheet name="Totaler" sheetId="29" r:id="rId26"/>
  </sheets>
  <definedNames>
    <definedName name="_ftn1" localSheetId="2">WMU!$A$29</definedName>
    <definedName name="_ftnref1" localSheetId="2">WMU!$A$28</definedName>
  </definedNames>
  <calcPr calcId="145621"/>
</workbook>
</file>

<file path=xl/calcChain.xml><?xml version="1.0" encoding="utf-8"?>
<calcChain xmlns="http://schemas.openxmlformats.org/spreadsheetml/2006/main">
  <c r="AA12" i="29" l="1"/>
  <c r="Z12" i="29"/>
  <c r="Z9" i="29"/>
  <c r="Z10" i="29"/>
  <c r="Z11" i="29"/>
  <c r="Z4" i="29"/>
  <c r="Z5" i="29"/>
  <c r="Z6" i="29"/>
  <c r="Z7" i="29"/>
  <c r="Z3" i="29"/>
  <c r="U8" i="29"/>
  <c r="U12" i="29" s="1"/>
  <c r="T8" i="29"/>
  <c r="T12" i="29" s="1"/>
  <c r="X4" i="29"/>
  <c r="W4" i="29"/>
  <c r="V4" i="29"/>
  <c r="Y3" i="17" l="1"/>
  <c r="P4" i="17"/>
  <c r="M116" i="15"/>
  <c r="X13" i="12"/>
  <c r="Y13" i="12"/>
  <c r="M13" i="12"/>
  <c r="M24" i="14"/>
  <c r="P3" i="17" l="1"/>
  <c r="F27" i="29"/>
  <c r="F9" i="29"/>
  <c r="F16" i="29" s="1"/>
  <c r="G38" i="11"/>
  <c r="F8" i="29" s="1"/>
  <c r="F6" i="29"/>
  <c r="K40" i="29" l="1"/>
  <c r="J40" i="29"/>
  <c r="C12" i="29"/>
  <c r="D12" i="29" s="1"/>
  <c r="C11" i="29"/>
  <c r="D11" i="29" s="1"/>
  <c r="C10" i="29"/>
  <c r="D10" i="29" s="1"/>
  <c r="E9" i="29"/>
  <c r="C9" i="29"/>
  <c r="B9" i="29"/>
  <c r="D7" i="29"/>
  <c r="D14" i="29"/>
  <c r="D15" i="29"/>
  <c r="E27" i="29"/>
  <c r="C27" i="29"/>
  <c r="E6" i="29"/>
  <c r="X3" i="29" s="1"/>
  <c r="C6" i="29"/>
  <c r="W3" i="29" s="1"/>
  <c r="D9" i="29" l="1"/>
  <c r="O8" i="7"/>
  <c r="AH3" i="12" l="1"/>
  <c r="AP3" i="12"/>
  <c r="K3" i="12"/>
  <c r="O18" i="7"/>
  <c r="E18" i="7"/>
  <c r="E9" i="7"/>
  <c r="B17" i="29" s="1"/>
  <c r="V7" i="29" s="1"/>
  <c r="C54" i="11"/>
  <c r="C28" i="22"/>
  <c r="C27" i="22"/>
  <c r="F19" i="22" l="1"/>
  <c r="B19" i="22"/>
  <c r="C14" i="39" l="1"/>
  <c r="C13" i="39"/>
  <c r="C12" i="39"/>
  <c r="C11" i="39"/>
  <c r="C10" i="39"/>
  <c r="C9" i="39"/>
  <c r="C8" i="39"/>
  <c r="C7" i="39"/>
  <c r="C6" i="39"/>
  <c r="C5" i="39"/>
  <c r="C4" i="39"/>
  <c r="C3" i="39"/>
  <c r="C2" i="39"/>
  <c r="E15" i="39" l="1"/>
  <c r="M18" i="3"/>
  <c r="AC18" i="3" s="1"/>
  <c r="M20" i="3"/>
  <c r="M21" i="3"/>
  <c r="F15" i="39" l="1"/>
  <c r="K12" i="12" l="1"/>
  <c r="AN7" i="12"/>
  <c r="N28" i="15" l="1"/>
  <c r="P28" i="15"/>
  <c r="AF28" i="15"/>
  <c r="AL28" i="15"/>
  <c r="N42" i="15"/>
  <c r="L42" i="15" s="1"/>
  <c r="Z42" i="15" s="1"/>
  <c r="Y42" i="15"/>
  <c r="AD42" i="15" s="1"/>
  <c r="AL42" i="15"/>
  <c r="N19" i="15"/>
  <c r="L19" i="15" s="1"/>
  <c r="AF19" i="15"/>
  <c r="AL19" i="15"/>
  <c r="AL49" i="15"/>
  <c r="Y49" i="15"/>
  <c r="AD49" i="15" s="1"/>
  <c r="N49" i="15"/>
  <c r="L49" i="15" s="1"/>
  <c r="Z49" i="15" s="1"/>
  <c r="AL35" i="15"/>
  <c r="Y35" i="15"/>
  <c r="AD35" i="15" s="1"/>
  <c r="N35" i="15"/>
  <c r="L35" i="15" s="1"/>
  <c r="AL22" i="15"/>
  <c r="AF22" i="15"/>
  <c r="O22" i="15"/>
  <c r="N22" i="15"/>
  <c r="AL18" i="15"/>
  <c r="AF18" i="15"/>
  <c r="N18" i="15"/>
  <c r="L18" i="15" s="1"/>
  <c r="AL14" i="15"/>
  <c r="AF14" i="15"/>
  <c r="Y14" i="15"/>
  <c r="AD14" i="15" s="1"/>
  <c r="N14" i="15"/>
  <c r="L14" i="15" s="1"/>
  <c r="Z14" i="15" s="1"/>
  <c r="Y19" i="15" l="1"/>
  <c r="AD19" i="15" s="1"/>
  <c r="L28" i="15"/>
  <c r="Y28" i="15" s="1"/>
  <c r="AD28" i="15" s="1"/>
  <c r="AE42" i="15"/>
  <c r="AM42" i="15" s="1"/>
  <c r="AS42" i="15"/>
  <c r="AR42" i="15" s="1"/>
  <c r="AZ42" i="15"/>
  <c r="AA42" i="15"/>
  <c r="AT42" i="15"/>
  <c r="Z19" i="15"/>
  <c r="AZ19" i="15" s="1"/>
  <c r="AS35" i="15"/>
  <c r="AR35" i="15" s="1"/>
  <c r="AU35" i="15" s="1"/>
  <c r="AV35" i="15" s="1"/>
  <c r="Z35" i="15"/>
  <c r="AE35" i="15" s="1"/>
  <c r="AM35" i="15" s="1"/>
  <c r="L22" i="15"/>
  <c r="Z22" i="15" s="1"/>
  <c r="AZ49" i="15"/>
  <c r="BA49" i="15" s="1"/>
  <c r="BB49" i="15" s="1"/>
  <c r="AZ14" i="15"/>
  <c r="AS49" i="15"/>
  <c r="AR49" i="15" s="1"/>
  <c r="AU49" i="15" s="1"/>
  <c r="AV49" i="15" s="1"/>
  <c r="AE49" i="15"/>
  <c r="AM49" i="15" s="1"/>
  <c r="AA49" i="15"/>
  <c r="AT14" i="15"/>
  <c r="AA14" i="15"/>
  <c r="AS14" i="15"/>
  <c r="AR14" i="15" s="1"/>
  <c r="AE14" i="15"/>
  <c r="AM14" i="15" s="1"/>
  <c r="Z18" i="15"/>
  <c r="AZ18" i="15" s="1"/>
  <c r="BA18" i="15" s="1"/>
  <c r="BB18" i="15" s="1"/>
  <c r="Y18" i="15"/>
  <c r="AD18" i="15" s="1"/>
  <c r="K31" i="29"/>
  <c r="J31" i="29"/>
  <c r="J24" i="29"/>
  <c r="J17" i="29"/>
  <c r="K3" i="29"/>
  <c r="K7" i="29" s="1"/>
  <c r="J7" i="29"/>
  <c r="Y22" i="15" l="1"/>
  <c r="AD22" i="15" s="1"/>
  <c r="Z28" i="15"/>
  <c r="AZ28" i="15" s="1"/>
  <c r="BA28" i="15" s="1"/>
  <c r="BB28" i="15" s="1"/>
  <c r="BA42" i="15"/>
  <c r="BB42" i="15" s="1"/>
  <c r="AU42" i="15"/>
  <c r="AV42" i="15" s="1"/>
  <c r="AA35" i="15"/>
  <c r="AE19" i="15"/>
  <c r="AM19" i="15" s="1"/>
  <c r="AS19" i="15"/>
  <c r="AR19" i="15" s="1"/>
  <c r="AA19" i="15"/>
  <c r="AT19" i="15"/>
  <c r="BA19" i="15" s="1"/>
  <c r="BB19" i="15" s="1"/>
  <c r="AZ35" i="15"/>
  <c r="BA35" i="15" s="1"/>
  <c r="BB35" i="15" s="1"/>
  <c r="BA14" i="15"/>
  <c r="BB14" i="15" s="1"/>
  <c r="AZ22" i="15"/>
  <c r="BA22" i="15" s="1"/>
  <c r="BB22" i="15" s="1"/>
  <c r="AE22" i="15"/>
  <c r="AM22" i="15" s="1"/>
  <c r="AS22" i="15"/>
  <c r="AR22" i="15" s="1"/>
  <c r="AU22" i="15" s="1"/>
  <c r="AV22" i="15" s="1"/>
  <c r="AS18" i="15"/>
  <c r="AR18" i="15" s="1"/>
  <c r="AU18" i="15" s="1"/>
  <c r="AV18" i="15" s="1"/>
  <c r="AE18" i="15"/>
  <c r="AM18" i="15" s="1"/>
  <c r="AA18" i="15"/>
  <c r="AU14" i="15"/>
  <c r="AV14" i="15" s="1"/>
  <c r="B4" i="29"/>
  <c r="D4" i="29" s="1"/>
  <c r="B5" i="29"/>
  <c r="D5" i="29" s="1"/>
  <c r="B3" i="29"/>
  <c r="AS28" i="15" l="1"/>
  <c r="AR28" i="15" s="1"/>
  <c r="AU28" i="15" s="1"/>
  <c r="AV28" i="15" s="1"/>
  <c r="AA22" i="15"/>
  <c r="AA28" i="15"/>
  <c r="AE28" i="15"/>
  <c r="AM28" i="15" s="1"/>
  <c r="D3" i="29"/>
  <c r="B27" i="29"/>
  <c r="D27" i="29" s="1"/>
  <c r="AU19" i="15"/>
  <c r="AV19" i="15" s="1"/>
  <c r="B6" i="29"/>
  <c r="D6" i="29" l="1"/>
  <c r="V3" i="29"/>
  <c r="E13" i="12"/>
  <c r="C13" i="12"/>
  <c r="D13" i="12"/>
  <c r="B13" i="12"/>
  <c r="G13" i="12"/>
  <c r="H13" i="12"/>
  <c r="I13" i="12"/>
  <c r="P13" i="12"/>
  <c r="Q13" i="12"/>
  <c r="S13" i="12"/>
  <c r="T13" i="12"/>
  <c r="U13" i="12"/>
  <c r="V13" i="12"/>
  <c r="W13" i="12"/>
  <c r="F13" i="12"/>
  <c r="AK13" i="12"/>
  <c r="AL13" i="12"/>
  <c r="AM13" i="12"/>
  <c r="AA7" i="12"/>
  <c r="AB7" i="12"/>
  <c r="AG7" i="12" l="1"/>
  <c r="AO7" i="12" s="1"/>
  <c r="AV7" i="12"/>
  <c r="BB7" i="12"/>
  <c r="AU7" i="12"/>
  <c r="AT7" i="12" s="1"/>
  <c r="AC7" i="12"/>
  <c r="F31" i="27"/>
  <c r="F30" i="27"/>
  <c r="F29" i="27"/>
  <c r="F27" i="27"/>
  <c r="F26" i="27"/>
  <c r="F25" i="27"/>
  <c r="F22" i="27"/>
  <c r="F24" i="27"/>
  <c r="F23" i="27"/>
  <c r="F21" i="27"/>
  <c r="F19" i="27"/>
  <c r="F18" i="27"/>
  <c r="F17" i="27"/>
  <c r="F16" i="27"/>
  <c r="AW7" i="12" l="1"/>
  <c r="AX7" i="12" s="1"/>
  <c r="BC7" i="12"/>
  <c r="BD7" i="12" s="1"/>
  <c r="F14" i="27"/>
  <c r="F13" i="27"/>
  <c r="F12" i="27"/>
  <c r="L16" i="27"/>
  <c r="L17" i="27"/>
  <c r="L18" i="27"/>
  <c r="L19" i="27"/>
  <c r="L21" i="27"/>
  <c r="L22" i="27"/>
  <c r="L23" i="27"/>
  <c r="L24" i="27"/>
  <c r="L25" i="27"/>
  <c r="L26" i="27"/>
  <c r="L27" i="27"/>
  <c r="L29" i="27"/>
  <c r="L30" i="27"/>
  <c r="L31" i="27"/>
  <c r="F11" i="27"/>
  <c r="N10" i="27"/>
  <c r="J10" i="27"/>
  <c r="C14" i="28"/>
  <c r="C13" i="28"/>
  <c r="C12" i="28"/>
  <c r="C11" i="28"/>
  <c r="C10" i="28"/>
  <c r="C9" i="28"/>
  <c r="C8" i="28"/>
  <c r="C7" i="28"/>
  <c r="C6" i="28"/>
  <c r="C5" i="28"/>
  <c r="C4" i="28"/>
  <c r="C3" i="28"/>
  <c r="C2" i="28"/>
  <c r="F9" i="27"/>
  <c r="F7" i="27"/>
  <c r="F5" i="27"/>
  <c r="R10" i="27" l="1"/>
  <c r="L5" i="27"/>
  <c r="L9" i="27"/>
  <c r="M11" i="27"/>
  <c r="L12" i="27"/>
  <c r="L14" i="27"/>
  <c r="L7" i="27"/>
  <c r="L13" i="27"/>
  <c r="L11" i="27"/>
  <c r="H5" i="27"/>
  <c r="M5" i="27" s="1"/>
  <c r="H7" i="27"/>
  <c r="M7" i="27" s="1"/>
  <c r="G4" i="27"/>
  <c r="G5" i="27"/>
  <c r="G7" i="27"/>
  <c r="G8" i="27"/>
  <c r="G9" i="27"/>
  <c r="F4" i="27"/>
  <c r="C4" i="27"/>
  <c r="F3" i="27"/>
  <c r="D3" i="27"/>
  <c r="G10" i="27"/>
  <c r="G12" i="27"/>
  <c r="G14" i="27"/>
  <c r="G17" i="27"/>
  <c r="G21" i="27"/>
  <c r="G24" i="27"/>
  <c r="G25" i="27"/>
  <c r="G26" i="27"/>
  <c r="G30" i="27"/>
  <c r="G31" i="27"/>
  <c r="G29" i="27"/>
  <c r="G28" i="27"/>
  <c r="H9" i="27"/>
  <c r="M9" i="27" s="1"/>
  <c r="H12" i="27"/>
  <c r="M12" i="27" s="1"/>
  <c r="M13" i="27"/>
  <c r="H14" i="27"/>
  <c r="M14" i="27" s="1"/>
  <c r="M16" i="27"/>
  <c r="H17" i="27"/>
  <c r="M18" i="27"/>
  <c r="M19" i="27"/>
  <c r="H21" i="27"/>
  <c r="M21" i="27" s="1"/>
  <c r="M22" i="27"/>
  <c r="M23" i="27"/>
  <c r="H24" i="27"/>
  <c r="M24" i="27" s="1"/>
  <c r="H25" i="27"/>
  <c r="M25" i="27" s="1"/>
  <c r="H26" i="27"/>
  <c r="M27" i="27"/>
  <c r="H30" i="27"/>
  <c r="M30" i="27" s="1"/>
  <c r="H31" i="27"/>
  <c r="M31" i="27" s="1"/>
  <c r="H29" i="27"/>
  <c r="M29" i="27" s="1"/>
  <c r="F2" i="27"/>
  <c r="C8" i="11"/>
  <c r="F10" i="27" l="1"/>
  <c r="L10" i="27" s="1"/>
  <c r="L3" i="27"/>
  <c r="L2" i="27"/>
  <c r="H4" i="27"/>
  <c r="M4" i="27" s="1"/>
  <c r="L4" i="27"/>
  <c r="H3" i="27"/>
  <c r="M3" i="27" s="1"/>
  <c r="G3" i="27"/>
  <c r="H10" i="27" l="1"/>
  <c r="M10" i="27" s="1"/>
  <c r="F16" i="7"/>
  <c r="F13" i="7"/>
  <c r="F14" i="7"/>
  <c r="F12" i="7"/>
  <c r="F15" i="7"/>
  <c r="F11" i="7"/>
  <c r="F17" i="7"/>
  <c r="F8" i="7"/>
  <c r="P8" i="7" s="1"/>
  <c r="F5" i="7"/>
  <c r="H5" i="7" s="1"/>
  <c r="N5" i="7" s="1"/>
  <c r="O7" i="7"/>
  <c r="F7" i="7"/>
  <c r="P7" i="7" s="1"/>
  <c r="K6" i="7"/>
  <c r="F6" i="7"/>
  <c r="H6" i="7" s="1"/>
  <c r="O6" i="7" s="1"/>
  <c r="F4" i="7"/>
  <c r="P4" i="7" s="1"/>
  <c r="G6" i="7"/>
  <c r="G5" i="7"/>
  <c r="G4" i="7"/>
  <c r="O3" i="7"/>
  <c r="L3" i="7"/>
  <c r="G3" i="7"/>
  <c r="F3" i="7" s="1"/>
  <c r="F8" i="27"/>
  <c r="C8" i="27"/>
  <c r="J28" i="27"/>
  <c r="F28" i="27"/>
  <c r="C28" i="27"/>
  <c r="S15" i="27"/>
  <c r="F15" i="27"/>
  <c r="C15" i="27"/>
  <c r="S13" i="27"/>
  <c r="C13" i="27"/>
  <c r="S22" i="27"/>
  <c r="C22" i="27"/>
  <c r="S18" i="27"/>
  <c r="C18" i="27"/>
  <c r="C24" i="27"/>
  <c r="S5" i="27"/>
  <c r="C5" i="27"/>
  <c r="S4" i="27"/>
  <c r="S29" i="27"/>
  <c r="C29" i="27"/>
  <c r="S3" i="27"/>
  <c r="C3" i="27"/>
  <c r="Q14" i="27"/>
  <c r="P14" i="27"/>
  <c r="K14" i="27"/>
  <c r="C14" i="27"/>
  <c r="K25" i="27"/>
  <c r="S25" i="27"/>
  <c r="C25" i="27"/>
  <c r="S11" i="27"/>
  <c r="C11" i="27"/>
  <c r="K20" i="27"/>
  <c r="E20" i="27"/>
  <c r="S7" i="27"/>
  <c r="C7" i="27"/>
  <c r="S10" i="27"/>
  <c r="C10" i="27"/>
  <c r="Q26" i="27"/>
  <c r="P26" i="27"/>
  <c r="J26" i="27"/>
  <c r="I26" i="27"/>
  <c r="C26" i="27"/>
  <c r="C27" i="27"/>
  <c r="C19" i="27"/>
  <c r="K31" i="27"/>
  <c r="C31" i="27"/>
  <c r="S12" i="27"/>
  <c r="C12" i="27"/>
  <c r="S30" i="27"/>
  <c r="C30" i="27"/>
  <c r="S21" i="27"/>
  <c r="C21" i="27"/>
  <c r="C23" i="27"/>
  <c r="S16" i="27"/>
  <c r="C16" i="27"/>
  <c r="P2" i="27"/>
  <c r="D2" i="27"/>
  <c r="C2" i="27"/>
  <c r="K9" i="27"/>
  <c r="S9" i="27"/>
  <c r="C9" i="27"/>
  <c r="J17" i="27"/>
  <c r="C17" i="27"/>
  <c r="Q7" i="11"/>
  <c r="D7" i="11"/>
  <c r="E7" i="11" s="1"/>
  <c r="O7" i="11"/>
  <c r="N7" i="11"/>
  <c r="D34" i="11"/>
  <c r="R34" i="11" s="1"/>
  <c r="J32" i="27" l="1"/>
  <c r="F24" i="29" s="1"/>
  <c r="F9" i="7"/>
  <c r="F18" i="7"/>
  <c r="P18" i="7" s="1"/>
  <c r="K28" i="27"/>
  <c r="L15" i="27"/>
  <c r="H8" i="27"/>
  <c r="M8" i="27" s="1"/>
  <c r="L8" i="27"/>
  <c r="E32" i="27"/>
  <c r="B24" i="29" s="1"/>
  <c r="V11" i="29" s="1"/>
  <c r="F20" i="27"/>
  <c r="H28" i="27"/>
  <c r="M28" i="27" s="1"/>
  <c r="L28" i="27"/>
  <c r="Q17" i="27"/>
  <c r="M17" i="27"/>
  <c r="G20" i="27"/>
  <c r="G2" i="27"/>
  <c r="H2" i="27"/>
  <c r="M2" i="27" s="1"/>
  <c r="K26" i="27"/>
  <c r="M26" i="27"/>
  <c r="S26" i="27"/>
  <c r="C20" i="27"/>
  <c r="C32" i="27" s="1"/>
  <c r="P5" i="7"/>
  <c r="H4" i="7"/>
  <c r="N4" i="7" s="1"/>
  <c r="N6" i="7"/>
  <c r="H3" i="7"/>
  <c r="P3" i="7"/>
  <c r="P6" i="7"/>
  <c r="S28" i="27"/>
  <c r="P17" i="27"/>
  <c r="S31" i="27"/>
  <c r="S19" i="27"/>
  <c r="S27" i="27"/>
  <c r="S14" i="27"/>
  <c r="Q34" i="11"/>
  <c r="M7" i="11"/>
  <c r="R7" i="11"/>
  <c r="N2" i="11"/>
  <c r="N9" i="11"/>
  <c r="N14" i="11"/>
  <c r="N15" i="11"/>
  <c r="N16" i="11"/>
  <c r="N19" i="11"/>
  <c r="N20" i="11"/>
  <c r="N3" i="11"/>
  <c r="N17" i="11"/>
  <c r="N24" i="11"/>
  <c r="N25" i="11"/>
  <c r="N18" i="11"/>
  <c r="N26" i="11"/>
  <c r="N27" i="11"/>
  <c r="N28" i="11"/>
  <c r="N29" i="11"/>
  <c r="N31" i="11"/>
  <c r="N32" i="11"/>
  <c r="N30" i="11"/>
  <c r="N33" i="11"/>
  <c r="N35" i="11"/>
  <c r="N36" i="11"/>
  <c r="N37" i="11"/>
  <c r="N23" i="11"/>
  <c r="N8" i="11"/>
  <c r="N10" i="11"/>
  <c r="N11" i="11"/>
  <c r="O23" i="11"/>
  <c r="D23" i="11"/>
  <c r="R23" i="11" s="1"/>
  <c r="O10" i="11"/>
  <c r="D10" i="11"/>
  <c r="R10" i="11" s="1"/>
  <c r="E8" i="11"/>
  <c r="M8" i="11" s="1"/>
  <c r="R8" i="11"/>
  <c r="O8" i="11"/>
  <c r="O11" i="11"/>
  <c r="O2" i="11"/>
  <c r="O22" i="11"/>
  <c r="O9" i="11"/>
  <c r="O4" i="11"/>
  <c r="O14" i="11"/>
  <c r="O15" i="11"/>
  <c r="O16" i="11"/>
  <c r="O20" i="11"/>
  <c r="O3" i="11"/>
  <c r="O17" i="11"/>
  <c r="O24" i="11"/>
  <c r="O25" i="11"/>
  <c r="O18" i="11"/>
  <c r="O26" i="11"/>
  <c r="O27" i="11"/>
  <c r="O28" i="11"/>
  <c r="O29" i="11"/>
  <c r="O31" i="11"/>
  <c r="O32" i="11"/>
  <c r="O30" i="11"/>
  <c r="O33" i="11"/>
  <c r="O35" i="11"/>
  <c r="O36" i="11"/>
  <c r="O37" i="11"/>
  <c r="D43" i="11"/>
  <c r="D44" i="11"/>
  <c r="R44" i="11" s="1"/>
  <c r="D45" i="11"/>
  <c r="Q45" i="11" s="1"/>
  <c r="D46" i="11"/>
  <c r="Q46" i="11" s="1"/>
  <c r="D47" i="11"/>
  <c r="R47" i="11" s="1"/>
  <c r="D48" i="11"/>
  <c r="Q48" i="11" s="1"/>
  <c r="D49" i="11"/>
  <c r="R49" i="11" s="1"/>
  <c r="D50" i="11"/>
  <c r="Q50" i="11" s="1"/>
  <c r="D51" i="11"/>
  <c r="R51" i="11" s="1"/>
  <c r="D52" i="11"/>
  <c r="Q52" i="11" s="1"/>
  <c r="D53" i="11"/>
  <c r="R53" i="11" s="1"/>
  <c r="D37" i="11"/>
  <c r="E37" i="11" s="1"/>
  <c r="D36" i="11"/>
  <c r="E36" i="11" s="1"/>
  <c r="Q36" i="11" s="1"/>
  <c r="D35" i="11"/>
  <c r="E35" i="11" s="1"/>
  <c r="Q35" i="11" s="1"/>
  <c r="D33" i="11"/>
  <c r="R33" i="11" s="1"/>
  <c r="H30" i="11"/>
  <c r="C30" i="11"/>
  <c r="D30" i="11" s="1"/>
  <c r="E30" i="11" s="1"/>
  <c r="M30" i="11" s="1"/>
  <c r="D32" i="11"/>
  <c r="E32" i="11" s="1"/>
  <c r="Q32" i="11" s="1"/>
  <c r="D31" i="11"/>
  <c r="E31" i="11" s="1"/>
  <c r="Q31" i="11" s="1"/>
  <c r="D29" i="11"/>
  <c r="E29" i="11" s="1"/>
  <c r="Q29" i="11" s="1"/>
  <c r="H29" i="11"/>
  <c r="D28" i="11"/>
  <c r="E28" i="11" s="1"/>
  <c r="Q28" i="11" s="1"/>
  <c r="D27" i="11"/>
  <c r="R27" i="11" s="1"/>
  <c r="C26" i="11"/>
  <c r="D26" i="11" s="1"/>
  <c r="R26" i="11" s="1"/>
  <c r="D18" i="11"/>
  <c r="R18" i="11" s="1"/>
  <c r="D25" i="11"/>
  <c r="R25" i="11" s="1"/>
  <c r="D24" i="11"/>
  <c r="R24" i="11" s="1"/>
  <c r="E17" i="11"/>
  <c r="Q17" i="11" s="1"/>
  <c r="R17" i="11"/>
  <c r="C17" i="29" l="1"/>
  <c r="P9" i="7"/>
  <c r="Q43" i="11"/>
  <c r="D54" i="11"/>
  <c r="Q8" i="11"/>
  <c r="S8" i="27"/>
  <c r="S17" i="27"/>
  <c r="S2" i="27"/>
  <c r="S20" i="27"/>
  <c r="L20" i="27"/>
  <c r="H20" i="27"/>
  <c r="M20" i="27" s="1"/>
  <c r="M32" i="27" s="1"/>
  <c r="E24" i="29" s="1"/>
  <c r="X11" i="29" s="1"/>
  <c r="F32" i="27"/>
  <c r="C24" i="29" s="1"/>
  <c r="R48" i="11"/>
  <c r="O4" i="7"/>
  <c r="R45" i="11"/>
  <c r="R52" i="11"/>
  <c r="M28" i="11"/>
  <c r="R50" i="11"/>
  <c r="R46" i="11"/>
  <c r="R43" i="11"/>
  <c r="Q53" i="11"/>
  <c r="Q51" i="11"/>
  <c r="Q49" i="11"/>
  <c r="Q47" i="11"/>
  <c r="Q44" i="11"/>
  <c r="M17" i="11"/>
  <c r="E25" i="11"/>
  <c r="M25" i="11" s="1"/>
  <c r="R37" i="11"/>
  <c r="E33" i="11"/>
  <c r="Q33" i="11" s="1"/>
  <c r="R31" i="11"/>
  <c r="R29" i="11"/>
  <c r="R28" i="11"/>
  <c r="R32" i="11"/>
  <c r="R30" i="11"/>
  <c r="R35" i="11"/>
  <c r="E10" i="11"/>
  <c r="E24" i="11"/>
  <c r="E18" i="11"/>
  <c r="E26" i="11"/>
  <c r="M26" i="11" s="1"/>
  <c r="E27" i="11"/>
  <c r="M29" i="11"/>
  <c r="M31" i="11"/>
  <c r="M32" i="11"/>
  <c r="Q30" i="11"/>
  <c r="M35" i="11"/>
  <c r="E23" i="11"/>
  <c r="Q23" i="11" s="1"/>
  <c r="M37" i="11"/>
  <c r="Q37" i="11"/>
  <c r="R36" i="11"/>
  <c r="M36" i="11"/>
  <c r="D21" i="11"/>
  <c r="E21" i="11" s="1"/>
  <c r="D3" i="11"/>
  <c r="C3" i="11"/>
  <c r="D48" i="24"/>
  <c r="D43" i="24"/>
  <c r="D44" i="24"/>
  <c r="D45" i="24"/>
  <c r="D46" i="24"/>
  <c r="D47" i="24"/>
  <c r="D42" i="24"/>
  <c r="B48" i="24"/>
  <c r="D20" i="11"/>
  <c r="Q6" i="11"/>
  <c r="D6" i="11"/>
  <c r="C6" i="11"/>
  <c r="B36" i="24"/>
  <c r="B33" i="24"/>
  <c r="D19" i="11"/>
  <c r="D16" i="11"/>
  <c r="D15" i="11"/>
  <c r="E15" i="11" s="1"/>
  <c r="H14" i="11"/>
  <c r="D14" i="11"/>
  <c r="E14" i="11" s="1"/>
  <c r="D13" i="11"/>
  <c r="D12" i="11"/>
  <c r="E12" i="11" s="1"/>
  <c r="B23" i="24"/>
  <c r="B26" i="24"/>
  <c r="B27" i="24" s="1"/>
  <c r="Q12" i="11" s="1"/>
  <c r="B20" i="25"/>
  <c r="E13" i="25"/>
  <c r="B21" i="25" s="1"/>
  <c r="D13" i="25"/>
  <c r="D14" i="25"/>
  <c r="E14" i="25" s="1"/>
  <c r="D12" i="25"/>
  <c r="E12" i="25" s="1"/>
  <c r="D24" i="29" l="1"/>
  <c r="W11" i="29"/>
  <c r="D17" i="29"/>
  <c r="W7" i="29"/>
  <c r="Q54" i="11"/>
  <c r="E15" i="25"/>
  <c r="B24" i="25" s="1"/>
  <c r="B25" i="25" s="1"/>
  <c r="L32" i="27"/>
  <c r="Q25" i="11"/>
  <c r="E3" i="11"/>
  <c r="Q3" i="11" s="1"/>
  <c r="M23" i="11"/>
  <c r="M33" i="11"/>
  <c r="E13" i="11"/>
  <c r="Q13" i="11" s="1"/>
  <c r="R19" i="11"/>
  <c r="E19" i="11"/>
  <c r="R20" i="11"/>
  <c r="E20" i="11"/>
  <c r="Q27" i="11"/>
  <c r="M27" i="11"/>
  <c r="Q18" i="11"/>
  <c r="M18" i="11"/>
  <c r="Q10" i="11"/>
  <c r="M10" i="11"/>
  <c r="R16" i="11"/>
  <c r="E16" i="11"/>
  <c r="Q16" i="11" s="1"/>
  <c r="Q24" i="11"/>
  <c r="M24" i="11"/>
  <c r="R3" i="11"/>
  <c r="R6" i="11"/>
  <c r="Q14" i="11"/>
  <c r="M14" i="11"/>
  <c r="Q15" i="11"/>
  <c r="M15" i="11"/>
  <c r="R14" i="11"/>
  <c r="R15" i="11"/>
  <c r="M19" i="11"/>
  <c r="Q19" i="11" s="1"/>
  <c r="R13" i="11"/>
  <c r="D4" i="11"/>
  <c r="D9" i="11"/>
  <c r="B13" i="24"/>
  <c r="B14" i="24" s="1"/>
  <c r="B16" i="24" s="1"/>
  <c r="D5" i="11" s="1"/>
  <c r="E5" i="11" s="1"/>
  <c r="H5" i="11"/>
  <c r="B11" i="24"/>
  <c r="B8" i="24"/>
  <c r="B9" i="24" s="1"/>
  <c r="Q5" i="11" s="1"/>
  <c r="B6" i="24"/>
  <c r="D22" i="11"/>
  <c r="E22" i="11" s="1"/>
  <c r="M3" i="11" l="1"/>
  <c r="M16" i="11"/>
  <c r="R4" i="11"/>
  <c r="E4" i="11"/>
  <c r="E9" i="11"/>
  <c r="M9" i="11" s="1"/>
  <c r="M20" i="11"/>
  <c r="Q20" i="11"/>
  <c r="R9" i="11"/>
  <c r="D11" i="11"/>
  <c r="C2" i="11"/>
  <c r="R12" i="11"/>
  <c r="R21" i="11"/>
  <c r="R5" i="11"/>
  <c r="R22" i="11"/>
  <c r="P2" i="11"/>
  <c r="P11" i="11"/>
  <c r="I24" i="22"/>
  <c r="J24" i="22" s="1"/>
  <c r="D25" i="22"/>
  <c r="D23" i="22"/>
  <c r="E23" i="22"/>
  <c r="L23" i="22" s="1"/>
  <c r="I23" i="22"/>
  <c r="D18" i="22"/>
  <c r="M18" i="22" s="1"/>
  <c r="I18" i="22"/>
  <c r="K18" i="22" s="1"/>
  <c r="I17" i="22"/>
  <c r="J17" i="22" s="1"/>
  <c r="D17" i="22"/>
  <c r="M17" i="22"/>
  <c r="D15" i="22"/>
  <c r="M15" i="22" s="1"/>
  <c r="D14" i="22"/>
  <c r="M14" i="22" s="1"/>
  <c r="D13" i="22"/>
  <c r="C13" i="22"/>
  <c r="D81" i="23"/>
  <c r="B81" i="23"/>
  <c r="D80" i="23"/>
  <c r="D79" i="23"/>
  <c r="G13" i="22"/>
  <c r="I12" i="22"/>
  <c r="D12" i="22"/>
  <c r="M12" i="22" s="1"/>
  <c r="B75" i="23"/>
  <c r="D75" i="23"/>
  <c r="D74" i="23"/>
  <c r="D11" i="22"/>
  <c r="E11" i="22" s="1"/>
  <c r="D70" i="23"/>
  <c r="D69" i="23"/>
  <c r="D71" i="23"/>
  <c r="B70" i="23"/>
  <c r="D16" i="22"/>
  <c r="D22" i="22"/>
  <c r="D10" i="22"/>
  <c r="M10" i="22" s="1"/>
  <c r="E10" i="22"/>
  <c r="J10" i="22" s="1"/>
  <c r="G10" i="22"/>
  <c r="D66" i="23"/>
  <c r="B22" i="23"/>
  <c r="L9" i="22"/>
  <c r="D9" i="22"/>
  <c r="C9" i="22"/>
  <c r="M9" i="22" s="1"/>
  <c r="B63" i="23"/>
  <c r="B61" i="23"/>
  <c r="D58" i="23"/>
  <c r="D50" i="23"/>
  <c r="D51" i="23"/>
  <c r="D52" i="23"/>
  <c r="D53" i="23"/>
  <c r="D54" i="23"/>
  <c r="D55" i="23"/>
  <c r="D56" i="23"/>
  <c r="D57" i="23"/>
  <c r="D49" i="23"/>
  <c r="B57" i="23"/>
  <c r="B58" i="23"/>
  <c r="K9" i="22"/>
  <c r="K10" i="22"/>
  <c r="K11" i="22"/>
  <c r="M11" i="22"/>
  <c r="K12" i="22"/>
  <c r="K13" i="22"/>
  <c r="M13" i="22"/>
  <c r="K14" i="22"/>
  <c r="K16" i="22"/>
  <c r="M16" i="22"/>
  <c r="K17" i="22"/>
  <c r="K22" i="22"/>
  <c r="M22" i="22"/>
  <c r="K23" i="22"/>
  <c r="M23" i="22"/>
  <c r="K25" i="22"/>
  <c r="M25" i="22"/>
  <c r="E12" i="22"/>
  <c r="J12" i="22" s="1"/>
  <c r="E13" i="22"/>
  <c r="J13" i="22" s="1"/>
  <c r="E14" i="22"/>
  <c r="J14" i="22" s="1"/>
  <c r="E16" i="22"/>
  <c r="L16" i="22" s="1"/>
  <c r="J16" i="22"/>
  <c r="E22" i="22"/>
  <c r="J22" i="22" s="1"/>
  <c r="L24" i="22"/>
  <c r="E25" i="22"/>
  <c r="L25" i="22" s="1"/>
  <c r="D44" i="23"/>
  <c r="B45" i="23"/>
  <c r="D45" i="23"/>
  <c r="I8" i="22"/>
  <c r="K8" i="22" s="1"/>
  <c r="K7" i="22"/>
  <c r="B40" i="23"/>
  <c r="D40" i="23"/>
  <c r="B39" i="23"/>
  <c r="D39" i="23"/>
  <c r="D41" i="23"/>
  <c r="D7" i="22"/>
  <c r="E7" i="22" s="1"/>
  <c r="I6" i="22"/>
  <c r="K6" i="22" s="1"/>
  <c r="D6" i="22"/>
  <c r="M6" i="22" s="1"/>
  <c r="G6" i="22"/>
  <c r="C5" i="22"/>
  <c r="B34" i="23"/>
  <c r="B35" i="23"/>
  <c r="D35" i="23"/>
  <c r="E18" i="22"/>
  <c r="L18" i="22" s="1"/>
  <c r="E17" i="22"/>
  <c r="L13" i="22"/>
  <c r="L12" i="22"/>
  <c r="D76" i="23"/>
  <c r="L22" i="22"/>
  <c r="M7" i="22"/>
  <c r="D34" i="23"/>
  <c r="D36" i="23"/>
  <c r="D5" i="22"/>
  <c r="E5" i="22" s="1"/>
  <c r="D46" i="23"/>
  <c r="D8" i="22"/>
  <c r="E8" i="22" s="1"/>
  <c r="E6" i="22"/>
  <c r="L6" i="22" s="1"/>
  <c r="L17" i="22"/>
  <c r="M8" i="22"/>
  <c r="K5" i="22"/>
  <c r="G5" i="22"/>
  <c r="D28" i="23"/>
  <c r="D27" i="23"/>
  <c r="D29" i="23"/>
  <c r="D4" i="22"/>
  <c r="B29" i="23"/>
  <c r="B30" i="23"/>
  <c r="I4" i="22"/>
  <c r="K4" i="22"/>
  <c r="C3" i="22"/>
  <c r="B20" i="23"/>
  <c r="B21" i="23"/>
  <c r="D21" i="23"/>
  <c r="D18" i="23"/>
  <c r="D19" i="23"/>
  <c r="D17" i="23"/>
  <c r="D11" i="23"/>
  <c r="K3" i="22"/>
  <c r="K2" i="22"/>
  <c r="B12" i="23"/>
  <c r="B13" i="23"/>
  <c r="D13" i="23"/>
  <c r="D7" i="23"/>
  <c r="D8" i="23"/>
  <c r="D9" i="23"/>
  <c r="D10" i="23"/>
  <c r="D6" i="23"/>
  <c r="L69" i="15"/>
  <c r="B14" i="21"/>
  <c r="B13" i="21"/>
  <c r="F8" i="21"/>
  <c r="L12" i="11"/>
  <c r="O12" i="11" s="1"/>
  <c r="L21" i="11"/>
  <c r="O21" i="11" s="1"/>
  <c r="L5" i="11"/>
  <c r="O5" i="11" s="1"/>
  <c r="C6" i="7"/>
  <c r="C2" i="7"/>
  <c r="C5" i="7"/>
  <c r="C17" i="7"/>
  <c r="C11" i="7"/>
  <c r="C14" i="7"/>
  <c r="C12" i="7"/>
  <c r="C15" i="7"/>
  <c r="C13" i="7"/>
  <c r="C16" i="7"/>
  <c r="C3" i="7"/>
  <c r="C7" i="7"/>
  <c r="C8" i="7"/>
  <c r="G22" i="3"/>
  <c r="B22" i="29" s="1"/>
  <c r="V10" i="29" s="1"/>
  <c r="D22" i="3"/>
  <c r="B22" i="3"/>
  <c r="E21" i="3"/>
  <c r="E20" i="3"/>
  <c r="H138" i="19"/>
  <c r="H137" i="19"/>
  <c r="H18" i="3"/>
  <c r="Q18" i="3" s="1"/>
  <c r="H9" i="3"/>
  <c r="B133" i="19"/>
  <c r="H133" i="19"/>
  <c r="H135" i="19" s="1"/>
  <c r="F14" i="20"/>
  <c r="E14" i="20"/>
  <c r="F13" i="20"/>
  <c r="E13" i="20"/>
  <c r="F12" i="20"/>
  <c r="E12" i="20"/>
  <c r="F11" i="20"/>
  <c r="E11" i="20"/>
  <c r="F10" i="20"/>
  <c r="E10" i="20"/>
  <c r="F9" i="20"/>
  <c r="E9" i="20"/>
  <c r="F8" i="20"/>
  <c r="E8" i="20"/>
  <c r="F7" i="20"/>
  <c r="E7" i="20"/>
  <c r="F6" i="20"/>
  <c r="E6" i="20"/>
  <c r="F5" i="20"/>
  <c r="E5" i="20"/>
  <c r="F4" i="20"/>
  <c r="E4" i="20"/>
  <c r="F3" i="20"/>
  <c r="E3" i="20"/>
  <c r="F2" i="20"/>
  <c r="E2" i="20"/>
  <c r="F132" i="19"/>
  <c r="E132" i="19"/>
  <c r="F131" i="19"/>
  <c r="E131" i="19"/>
  <c r="F130" i="19"/>
  <c r="E130" i="19"/>
  <c r="F129" i="19"/>
  <c r="E129" i="19"/>
  <c r="F128" i="19"/>
  <c r="E128" i="19"/>
  <c r="F127" i="19"/>
  <c r="E127" i="19"/>
  <c r="F126" i="19"/>
  <c r="E126" i="19"/>
  <c r="F125" i="19"/>
  <c r="E125" i="19"/>
  <c r="F124" i="19"/>
  <c r="E124" i="19"/>
  <c r="F123" i="19"/>
  <c r="E123" i="19"/>
  <c r="F122" i="19"/>
  <c r="E122" i="19"/>
  <c r="F121" i="19"/>
  <c r="E121" i="19"/>
  <c r="F120" i="19"/>
  <c r="E120" i="19"/>
  <c r="F119" i="19"/>
  <c r="E119" i="19"/>
  <c r="F118" i="19"/>
  <c r="E118" i="19"/>
  <c r="F117" i="19"/>
  <c r="E117" i="19"/>
  <c r="F116" i="19"/>
  <c r="E116" i="19"/>
  <c r="F115" i="19"/>
  <c r="E115" i="19"/>
  <c r="F114" i="19"/>
  <c r="E114" i="19"/>
  <c r="F113" i="19"/>
  <c r="E113" i="19"/>
  <c r="F112" i="19"/>
  <c r="E112" i="19"/>
  <c r="F111" i="19"/>
  <c r="E111" i="19"/>
  <c r="F110" i="19"/>
  <c r="E110" i="19"/>
  <c r="F109" i="19"/>
  <c r="E109" i="19"/>
  <c r="F108" i="19"/>
  <c r="E108" i="19"/>
  <c r="F107" i="19"/>
  <c r="E107" i="19"/>
  <c r="F106" i="19"/>
  <c r="E106" i="19"/>
  <c r="F105" i="19"/>
  <c r="E105" i="19"/>
  <c r="F104" i="19"/>
  <c r="E104" i="19"/>
  <c r="F103" i="19"/>
  <c r="E103" i="19"/>
  <c r="F102" i="19"/>
  <c r="E102" i="19"/>
  <c r="F101" i="19"/>
  <c r="E101" i="19"/>
  <c r="F100" i="19"/>
  <c r="E100" i="19"/>
  <c r="F99" i="19"/>
  <c r="E99" i="19"/>
  <c r="F98" i="19"/>
  <c r="E98" i="19"/>
  <c r="F97" i="19"/>
  <c r="E97" i="19"/>
  <c r="F96" i="19"/>
  <c r="E96" i="19"/>
  <c r="F95" i="19"/>
  <c r="E95" i="19"/>
  <c r="F94" i="19"/>
  <c r="E94" i="19"/>
  <c r="F93" i="19"/>
  <c r="E93" i="19"/>
  <c r="F92" i="19"/>
  <c r="E92" i="19"/>
  <c r="F91" i="19"/>
  <c r="E91" i="19"/>
  <c r="F90" i="19"/>
  <c r="E90" i="19"/>
  <c r="F89" i="19"/>
  <c r="E89" i="19"/>
  <c r="F88" i="19"/>
  <c r="E88" i="19"/>
  <c r="F87" i="19"/>
  <c r="E87" i="19"/>
  <c r="F86" i="19"/>
  <c r="E86" i="19"/>
  <c r="F85" i="19"/>
  <c r="E85" i="19"/>
  <c r="F84" i="19"/>
  <c r="E84" i="19"/>
  <c r="F83" i="19"/>
  <c r="E83" i="19"/>
  <c r="F82" i="19"/>
  <c r="E82" i="19"/>
  <c r="F81" i="19"/>
  <c r="E81" i="19"/>
  <c r="F80" i="19"/>
  <c r="E80" i="19"/>
  <c r="F79" i="19"/>
  <c r="E79" i="19"/>
  <c r="F78" i="19"/>
  <c r="E78" i="19"/>
  <c r="F77" i="19"/>
  <c r="E77" i="19"/>
  <c r="F76" i="19"/>
  <c r="E76" i="19"/>
  <c r="F75" i="19"/>
  <c r="E75" i="19"/>
  <c r="F74" i="19"/>
  <c r="E74" i="19"/>
  <c r="F73" i="19"/>
  <c r="E73" i="19"/>
  <c r="F72" i="19"/>
  <c r="E72" i="19"/>
  <c r="F71" i="19"/>
  <c r="E71" i="19"/>
  <c r="F70" i="19"/>
  <c r="E70" i="19"/>
  <c r="F69" i="19"/>
  <c r="E69" i="19"/>
  <c r="F68" i="19"/>
  <c r="E68" i="19"/>
  <c r="F67" i="19"/>
  <c r="E67" i="19"/>
  <c r="F66" i="19"/>
  <c r="E66" i="19"/>
  <c r="F65" i="19"/>
  <c r="E65" i="19"/>
  <c r="F64" i="19"/>
  <c r="E64" i="19"/>
  <c r="F63" i="19"/>
  <c r="E63" i="19"/>
  <c r="F62" i="19"/>
  <c r="E62" i="19"/>
  <c r="F61" i="19"/>
  <c r="E61" i="19"/>
  <c r="F60" i="19"/>
  <c r="E60" i="19"/>
  <c r="F59" i="19"/>
  <c r="E59" i="19"/>
  <c r="F58" i="19"/>
  <c r="E58" i="19"/>
  <c r="F57" i="19"/>
  <c r="E57" i="19"/>
  <c r="F56" i="19"/>
  <c r="E56" i="19"/>
  <c r="F55" i="19"/>
  <c r="E55" i="19"/>
  <c r="F54" i="19"/>
  <c r="E54" i="19"/>
  <c r="F53" i="19"/>
  <c r="E53" i="19"/>
  <c r="F52" i="19"/>
  <c r="E52" i="19"/>
  <c r="F51" i="19"/>
  <c r="E51" i="19"/>
  <c r="F50" i="19"/>
  <c r="E50" i="19"/>
  <c r="F49" i="19"/>
  <c r="E49" i="19"/>
  <c r="F48" i="19"/>
  <c r="E48" i="19"/>
  <c r="F47" i="19"/>
  <c r="E47" i="19"/>
  <c r="F46" i="19"/>
  <c r="E46" i="19"/>
  <c r="F45" i="19"/>
  <c r="E45" i="19"/>
  <c r="F44" i="19"/>
  <c r="E44" i="19"/>
  <c r="F43" i="19"/>
  <c r="E43" i="19"/>
  <c r="F42" i="19"/>
  <c r="E42" i="19"/>
  <c r="F41" i="19"/>
  <c r="E41" i="19"/>
  <c r="F40" i="19"/>
  <c r="E40" i="19"/>
  <c r="F39" i="19"/>
  <c r="E39" i="19"/>
  <c r="F38" i="19"/>
  <c r="E38" i="19"/>
  <c r="F37" i="19"/>
  <c r="E37" i="19"/>
  <c r="F36" i="19"/>
  <c r="E36" i="19"/>
  <c r="F35" i="19"/>
  <c r="E35" i="19"/>
  <c r="F34" i="19"/>
  <c r="E34" i="19"/>
  <c r="F33" i="19"/>
  <c r="E33" i="19"/>
  <c r="F32" i="19"/>
  <c r="E32" i="19"/>
  <c r="F31" i="19"/>
  <c r="E31" i="19"/>
  <c r="F30" i="19"/>
  <c r="E30" i="19"/>
  <c r="F29" i="19"/>
  <c r="E29" i="19"/>
  <c r="F28" i="19"/>
  <c r="E28" i="19"/>
  <c r="F27" i="19"/>
  <c r="E27" i="19"/>
  <c r="F26" i="19"/>
  <c r="E26" i="19"/>
  <c r="F25" i="19"/>
  <c r="E25" i="19"/>
  <c r="F24" i="19"/>
  <c r="E24" i="19"/>
  <c r="F23" i="19"/>
  <c r="E23" i="19"/>
  <c r="F22" i="19"/>
  <c r="E22" i="19"/>
  <c r="F21" i="19"/>
  <c r="E21" i="19"/>
  <c r="F20" i="19"/>
  <c r="E20" i="19"/>
  <c r="F19" i="19"/>
  <c r="E19" i="19"/>
  <c r="F18" i="19"/>
  <c r="E18" i="19"/>
  <c r="F17" i="19"/>
  <c r="E17" i="19"/>
  <c r="F16" i="19"/>
  <c r="E16" i="19"/>
  <c r="F15" i="19"/>
  <c r="E15" i="19"/>
  <c r="F14" i="19"/>
  <c r="E14" i="19"/>
  <c r="F13" i="19"/>
  <c r="E13" i="19"/>
  <c r="F12" i="19"/>
  <c r="E12" i="19"/>
  <c r="F11" i="19"/>
  <c r="E11" i="19"/>
  <c r="F10" i="19"/>
  <c r="E10" i="19"/>
  <c r="F9" i="19"/>
  <c r="E9" i="19"/>
  <c r="F8" i="19"/>
  <c r="E8" i="19"/>
  <c r="F7" i="19"/>
  <c r="E7" i="19"/>
  <c r="F6" i="19"/>
  <c r="E6" i="19"/>
  <c r="F5" i="19"/>
  <c r="E5" i="19"/>
  <c r="F4" i="19"/>
  <c r="E4" i="19"/>
  <c r="F3" i="19"/>
  <c r="E3" i="19"/>
  <c r="F2" i="19"/>
  <c r="E2" i="19"/>
  <c r="R17" i="3"/>
  <c r="P3" i="3"/>
  <c r="P4" i="3"/>
  <c r="P5" i="3"/>
  <c r="P7" i="3"/>
  <c r="P25" i="3"/>
  <c r="P8" i="3"/>
  <c r="P9" i="3"/>
  <c r="P10" i="3"/>
  <c r="P11" i="3"/>
  <c r="P13" i="3"/>
  <c r="P14" i="3"/>
  <c r="P15" i="3"/>
  <c r="P16" i="3"/>
  <c r="P17" i="3"/>
  <c r="P18" i="3"/>
  <c r="P19" i="3"/>
  <c r="R11" i="3"/>
  <c r="E3" i="3"/>
  <c r="E4" i="3"/>
  <c r="E5" i="3"/>
  <c r="E6" i="3"/>
  <c r="E7" i="3"/>
  <c r="E25" i="3"/>
  <c r="E8" i="3"/>
  <c r="E9" i="3"/>
  <c r="E10" i="3"/>
  <c r="E11" i="3"/>
  <c r="E12" i="3"/>
  <c r="E13" i="3"/>
  <c r="E14" i="3"/>
  <c r="E15" i="3"/>
  <c r="E16" i="3"/>
  <c r="E17" i="3"/>
  <c r="E18" i="3"/>
  <c r="E19" i="3"/>
  <c r="E2" i="3"/>
  <c r="J13" i="11"/>
  <c r="L13" i="11" s="1"/>
  <c r="O13" i="11" s="1"/>
  <c r="AK17" i="8"/>
  <c r="Q2" i="18" s="1"/>
  <c r="AL17" i="8"/>
  <c r="R2" i="18" s="1"/>
  <c r="AJ17" i="8"/>
  <c r="P2" i="18" s="1"/>
  <c r="AK8" i="13"/>
  <c r="P3" i="18"/>
  <c r="AL8" i="13"/>
  <c r="Q3" i="18" s="1"/>
  <c r="AM8" i="13"/>
  <c r="R3" i="18"/>
  <c r="AL24" i="14"/>
  <c r="Q4" i="18" s="1"/>
  <c r="AM24" i="14"/>
  <c r="R4" i="18" s="1"/>
  <c r="AK24" i="14"/>
  <c r="P4" i="18" s="1"/>
  <c r="P6" i="18"/>
  <c r="E108" i="1"/>
  <c r="C8" i="18" s="1"/>
  <c r="C108" i="1"/>
  <c r="D108" i="1"/>
  <c r="E116" i="15"/>
  <c r="C6" i="18"/>
  <c r="B6" i="18"/>
  <c r="E16" i="16"/>
  <c r="C5" i="18" s="1"/>
  <c r="C16" i="16"/>
  <c r="D16" i="16"/>
  <c r="B5" i="18" s="1"/>
  <c r="F16" i="16"/>
  <c r="D5" i="18" s="1"/>
  <c r="G16" i="16"/>
  <c r="E5" i="18" s="1"/>
  <c r="H16" i="16"/>
  <c r="F5" i="18" s="1"/>
  <c r="I16" i="16"/>
  <c r="G5" i="18" s="1"/>
  <c r="B16" i="16"/>
  <c r="E24" i="14"/>
  <c r="C4" i="18" s="1"/>
  <c r="C24" i="14"/>
  <c r="D24" i="14"/>
  <c r="B4" i="18" s="1"/>
  <c r="B24" i="14"/>
  <c r="E8" i="13"/>
  <c r="C3" i="18"/>
  <c r="C8" i="13"/>
  <c r="D8" i="13"/>
  <c r="B3" i="18"/>
  <c r="B8" i="13"/>
  <c r="E17" i="8"/>
  <c r="C2" i="18" s="1"/>
  <c r="C17" i="8"/>
  <c r="D17" i="8"/>
  <c r="B2" i="18" s="1"/>
  <c r="B17" i="8"/>
  <c r="B8" i="18"/>
  <c r="F8" i="18"/>
  <c r="G8" i="18"/>
  <c r="A8" i="18"/>
  <c r="A7" i="18"/>
  <c r="O6" i="18"/>
  <c r="Q6" i="18"/>
  <c r="B116" i="15"/>
  <c r="A6" i="18"/>
  <c r="A5" i="18"/>
  <c r="AF16" i="16"/>
  <c r="Q5" i="18" s="1"/>
  <c r="AE16" i="16"/>
  <c r="P5" i="18" s="1"/>
  <c r="AB6" i="16"/>
  <c r="A4" i="18"/>
  <c r="A3" i="18"/>
  <c r="AJ8" i="13"/>
  <c r="AI8" i="13"/>
  <c r="AE8" i="13"/>
  <c r="L3" i="18" s="1"/>
  <c r="AD8" i="13"/>
  <c r="K3" i="18" s="1"/>
  <c r="M8" i="13"/>
  <c r="O8" i="13"/>
  <c r="P8" i="13"/>
  <c r="Q8" i="13"/>
  <c r="R8" i="13"/>
  <c r="S8" i="13"/>
  <c r="T8" i="13"/>
  <c r="U8" i="13"/>
  <c r="V8" i="13"/>
  <c r="W8" i="13"/>
  <c r="X8" i="13"/>
  <c r="Y8" i="13"/>
  <c r="Z8" i="13"/>
  <c r="G8" i="13"/>
  <c r="E3" i="18"/>
  <c r="H8" i="13"/>
  <c r="F3" i="18" s="1"/>
  <c r="I8" i="13"/>
  <c r="G3" i="18" s="1"/>
  <c r="J8" i="13"/>
  <c r="H3" i="18" s="1"/>
  <c r="F8" i="13"/>
  <c r="D3" i="18" s="1"/>
  <c r="A2" i="18"/>
  <c r="G17" i="8"/>
  <c r="E2" i="18"/>
  <c r="H17" i="8"/>
  <c r="F2" i="18" s="1"/>
  <c r="I17" i="8"/>
  <c r="G2" i="18" s="1"/>
  <c r="F17" i="8"/>
  <c r="D2" i="18" s="1"/>
  <c r="Y27" i="8"/>
  <c r="AD17" i="8"/>
  <c r="L2" i="18" s="1"/>
  <c r="AC17" i="8"/>
  <c r="K2" i="18" s="1"/>
  <c r="L3" i="13"/>
  <c r="K3" i="13" s="1"/>
  <c r="X24" i="14"/>
  <c r="Y24" i="14"/>
  <c r="T24" i="14"/>
  <c r="U24" i="14"/>
  <c r="V24" i="14"/>
  <c r="P24" i="14"/>
  <c r="R24" i="14"/>
  <c r="S24" i="14"/>
  <c r="G24" i="14"/>
  <c r="E4" i="18" s="1"/>
  <c r="H24" i="14"/>
  <c r="F4" i="18" s="1"/>
  <c r="I24" i="14"/>
  <c r="G4" i="18" s="1"/>
  <c r="F24" i="14"/>
  <c r="D4" i="18" s="1"/>
  <c r="AE12" i="12"/>
  <c r="N8" i="12"/>
  <c r="L8" i="12" s="1"/>
  <c r="K8" i="12" s="1"/>
  <c r="AN12" i="12"/>
  <c r="AA12" i="12"/>
  <c r="AB12" i="12"/>
  <c r="AV12" i="12" s="1"/>
  <c r="AH12" i="12"/>
  <c r="AG16" i="16"/>
  <c r="R5" i="18" s="1"/>
  <c r="N16" i="16"/>
  <c r="R6" i="18"/>
  <c r="L11" i="12"/>
  <c r="E6" i="18"/>
  <c r="F6" i="18"/>
  <c r="G6" i="18"/>
  <c r="D6" i="18"/>
  <c r="F108" i="1"/>
  <c r="D8" i="18" s="1"/>
  <c r="B108" i="1"/>
  <c r="Q116" i="15"/>
  <c r="R116" i="15"/>
  <c r="S116" i="15"/>
  <c r="T116" i="15"/>
  <c r="U116" i="15"/>
  <c r="V116" i="15"/>
  <c r="W116" i="15"/>
  <c r="D116" i="15"/>
  <c r="B7" i="18" s="1"/>
  <c r="F116" i="15"/>
  <c r="D7" i="18" s="1"/>
  <c r="G116" i="15"/>
  <c r="E7" i="18" s="1"/>
  <c r="H116" i="15"/>
  <c r="F7" i="18" s="1"/>
  <c r="I116" i="15"/>
  <c r="G7" i="18" s="1"/>
  <c r="J116" i="15"/>
  <c r="H7" i="18" s="1"/>
  <c r="K116" i="15"/>
  <c r="I7" i="18" s="1"/>
  <c r="O116" i="15"/>
  <c r="C116" i="15"/>
  <c r="L4" i="17"/>
  <c r="N4" i="17"/>
  <c r="M4" i="17" s="1"/>
  <c r="L3" i="17"/>
  <c r="N3" i="17"/>
  <c r="M3" i="17"/>
  <c r="K3" i="17"/>
  <c r="J3" i="17"/>
  <c r="N2" i="15"/>
  <c r="L2" i="15" s="1"/>
  <c r="Z2" i="15" s="1"/>
  <c r="Y2" i="15"/>
  <c r="AD2" i="15" s="1"/>
  <c r="AF2" i="15"/>
  <c r="AH2" i="15"/>
  <c r="AL2" i="15" s="1"/>
  <c r="AR2" i="15"/>
  <c r="AU2" i="15" s="1"/>
  <c r="N7" i="15"/>
  <c r="L7" i="15" s="1"/>
  <c r="AL7" i="15"/>
  <c r="N8" i="15"/>
  <c r="L8" i="15" s="1"/>
  <c r="Y8" i="15" s="1"/>
  <c r="AD8" i="15" s="1"/>
  <c r="AL8" i="15"/>
  <c r="N9" i="15"/>
  <c r="L9" i="15" s="1"/>
  <c r="AL9" i="15"/>
  <c r="N10" i="15"/>
  <c r="L10" i="15" s="1"/>
  <c r="Z10" i="15" s="1"/>
  <c r="AL10" i="15"/>
  <c r="N12" i="15"/>
  <c r="L12" i="15" s="1"/>
  <c r="AL12" i="15"/>
  <c r="N15" i="15"/>
  <c r="L15" i="15" s="1"/>
  <c r="Y15" i="15" s="1"/>
  <c r="AD15" i="15" s="1"/>
  <c r="AL15" i="15"/>
  <c r="N17" i="15"/>
  <c r="L17" i="15" s="1"/>
  <c r="AL17" i="15"/>
  <c r="N20" i="15"/>
  <c r="L20" i="15" s="1"/>
  <c r="AF20" i="15"/>
  <c r="AL20" i="15"/>
  <c r="AR20" i="15"/>
  <c r="N25" i="15"/>
  <c r="L25" i="15" s="1"/>
  <c r="Z25" i="15" s="1"/>
  <c r="AL25" i="15"/>
  <c r="N26" i="15"/>
  <c r="L26" i="15" s="1"/>
  <c r="Z26" i="15" s="1"/>
  <c r="AT26" i="15" s="1"/>
  <c r="AL26" i="15"/>
  <c r="N27" i="15"/>
  <c r="L27" i="15" s="1"/>
  <c r="Z27" i="15" s="1"/>
  <c r="AE27" i="15" s="1"/>
  <c r="AL27" i="15"/>
  <c r="N29" i="15"/>
  <c r="L29" i="15" s="1"/>
  <c r="AL29" i="15"/>
  <c r="N31" i="15"/>
  <c r="L31" i="15" s="1"/>
  <c r="Z31" i="15" s="1"/>
  <c r="AE31" i="15" s="1"/>
  <c r="AL31" i="15"/>
  <c r="N32" i="15"/>
  <c r="L32" i="15" s="1"/>
  <c r="Z32" i="15" s="1"/>
  <c r="AT32" i="15" s="1"/>
  <c r="AL32" i="15"/>
  <c r="N33" i="15"/>
  <c r="L33" i="15" s="1"/>
  <c r="Z33" i="15" s="1"/>
  <c r="AL33" i="15"/>
  <c r="N34" i="15"/>
  <c r="L34" i="15" s="1"/>
  <c r="AL34" i="15"/>
  <c r="N37" i="15"/>
  <c r="L37" i="15" s="1"/>
  <c r="AL37" i="15"/>
  <c r="N39" i="15"/>
  <c r="L39" i="15" s="1"/>
  <c r="Z39" i="15" s="1"/>
  <c r="AS39" i="15" s="1"/>
  <c r="AR39" i="15" s="1"/>
  <c r="AU39" i="15" s="1"/>
  <c r="AV39" i="15" s="1"/>
  <c r="AL39" i="15"/>
  <c r="N40" i="15"/>
  <c r="L40" i="15" s="1"/>
  <c r="AL40" i="15"/>
  <c r="N41" i="15"/>
  <c r="L41" i="15" s="1"/>
  <c r="AL41" i="15"/>
  <c r="N43" i="15"/>
  <c r="L43" i="15" s="1"/>
  <c r="AL43" i="15"/>
  <c r="N44" i="15"/>
  <c r="L44" i="15" s="1"/>
  <c r="AL44" i="15"/>
  <c r="N45" i="15"/>
  <c r="L45" i="15" s="1"/>
  <c r="AL45" i="15"/>
  <c r="N48" i="15"/>
  <c r="L48" i="15" s="1"/>
  <c r="AL48" i="15"/>
  <c r="N51" i="15"/>
  <c r="L51" i="15" s="1"/>
  <c r="AL51" i="15"/>
  <c r="N52" i="15"/>
  <c r="L52" i="15" s="1"/>
  <c r="AL52" i="15"/>
  <c r="N53" i="15"/>
  <c r="L53" i="15" s="1"/>
  <c r="AL53" i="15"/>
  <c r="N54" i="15"/>
  <c r="L54" i="15" s="1"/>
  <c r="AL54" i="15"/>
  <c r="N56" i="15"/>
  <c r="L56" i="15" s="1"/>
  <c r="AL56" i="15"/>
  <c r="N57" i="15"/>
  <c r="L57" i="15" s="1"/>
  <c r="Z57" i="15" s="1"/>
  <c r="AT57" i="15" s="1"/>
  <c r="AL57" i="15"/>
  <c r="N58" i="15"/>
  <c r="L58" i="15" s="1"/>
  <c r="AL58" i="15"/>
  <c r="N60" i="15"/>
  <c r="L60" i="15" s="1"/>
  <c r="Z60" i="15" s="1"/>
  <c r="AL60" i="15"/>
  <c r="N63" i="15"/>
  <c r="L63" i="15" s="1"/>
  <c r="Z63" i="15" s="1"/>
  <c r="AE63" i="15" s="1"/>
  <c r="AL63" i="15"/>
  <c r="N65" i="15"/>
  <c r="L65" i="15" s="1"/>
  <c r="AL65" i="15"/>
  <c r="N66" i="15"/>
  <c r="L66" i="15" s="1"/>
  <c r="Z66" i="15" s="1"/>
  <c r="AT66" i="15" s="1"/>
  <c r="AL66" i="15"/>
  <c r="N67" i="15"/>
  <c r="L67" i="15" s="1"/>
  <c r="Z67" i="15" s="1"/>
  <c r="AL67" i="15"/>
  <c r="N68" i="15"/>
  <c r="L68" i="15" s="1"/>
  <c r="AL68" i="15"/>
  <c r="N72" i="15"/>
  <c r="L72" i="15" s="1"/>
  <c r="Y72" i="15" s="1"/>
  <c r="AD72" i="15" s="1"/>
  <c r="AL72" i="15"/>
  <c r="N70" i="15"/>
  <c r="L70" i="15" s="1"/>
  <c r="AL70" i="15"/>
  <c r="N73" i="15"/>
  <c r="L73" i="15" s="1"/>
  <c r="Z73" i="15" s="1"/>
  <c r="AS73" i="15" s="1"/>
  <c r="AR73" i="15" s="1"/>
  <c r="AU73" i="15" s="1"/>
  <c r="AV73" i="15" s="1"/>
  <c r="AL73" i="15"/>
  <c r="N76" i="15"/>
  <c r="L76" i="15" s="1"/>
  <c r="AL76" i="15"/>
  <c r="N77" i="15"/>
  <c r="L77" i="15" s="1"/>
  <c r="AL77" i="15"/>
  <c r="N79" i="15"/>
  <c r="L79" i="15" s="1"/>
  <c r="AL79" i="15"/>
  <c r="N81" i="15"/>
  <c r="L81" i="15" s="1"/>
  <c r="AL81" i="15"/>
  <c r="N82" i="15"/>
  <c r="L82" i="15" s="1"/>
  <c r="Y82" i="15" s="1"/>
  <c r="AD82" i="15" s="1"/>
  <c r="AL82" i="15"/>
  <c r="N83" i="15"/>
  <c r="L83" i="15" s="1"/>
  <c r="AL83" i="15"/>
  <c r="N84" i="15"/>
  <c r="L84" i="15" s="1"/>
  <c r="Y84" i="15" s="1"/>
  <c r="AD84" i="15" s="1"/>
  <c r="AL84" i="15"/>
  <c r="N85" i="15"/>
  <c r="L85" i="15" s="1"/>
  <c r="AL85" i="15"/>
  <c r="N86" i="15"/>
  <c r="L86" i="15" s="1"/>
  <c r="Z86" i="15" s="1"/>
  <c r="AT86" i="15" s="1"/>
  <c r="AL86" i="15"/>
  <c r="N88" i="15"/>
  <c r="L88" i="15" s="1"/>
  <c r="Z88" i="15" s="1"/>
  <c r="AL88" i="15"/>
  <c r="N90" i="15"/>
  <c r="L90" i="15" s="1"/>
  <c r="Z90" i="15" s="1"/>
  <c r="AS90" i="15" s="1"/>
  <c r="AR90" i="15" s="1"/>
  <c r="AU90" i="15" s="1"/>
  <c r="AV90" i="15" s="1"/>
  <c r="AL90" i="15"/>
  <c r="N91" i="15"/>
  <c r="L91" i="15" s="1"/>
  <c r="AL91" i="15"/>
  <c r="N92" i="15"/>
  <c r="L92" i="15" s="1"/>
  <c r="Z92" i="15" s="1"/>
  <c r="AL92" i="15"/>
  <c r="N93" i="15"/>
  <c r="L93" i="15" s="1"/>
  <c r="Z93" i="15" s="1"/>
  <c r="AL93" i="15"/>
  <c r="N95" i="15"/>
  <c r="P95" i="15"/>
  <c r="P116" i="15" s="1"/>
  <c r="AF95" i="15"/>
  <c r="AL95" i="15"/>
  <c r="N97" i="15"/>
  <c r="L97" i="15" s="1"/>
  <c r="Z97" i="15" s="1"/>
  <c r="AT97" i="15" s="1"/>
  <c r="AL97" i="15"/>
  <c r="N99" i="15"/>
  <c r="L99" i="15" s="1"/>
  <c r="AL99" i="15"/>
  <c r="N101" i="15"/>
  <c r="L101" i="15" s="1"/>
  <c r="Y101" i="15" s="1"/>
  <c r="AD101" i="15" s="1"/>
  <c r="AL101" i="15"/>
  <c r="N74" i="15"/>
  <c r="L74" i="15" s="1"/>
  <c r="AL74" i="15"/>
  <c r="N102" i="15"/>
  <c r="L102" i="15" s="1"/>
  <c r="Z102" i="15" s="1"/>
  <c r="AT102" i="15" s="1"/>
  <c r="AL102" i="15"/>
  <c r="N103" i="15"/>
  <c r="L103" i="15" s="1"/>
  <c r="AL103" i="15"/>
  <c r="N104" i="15"/>
  <c r="L104" i="15" s="1"/>
  <c r="Z104" i="15" s="1"/>
  <c r="AS104" i="15" s="1"/>
  <c r="AR104" i="15" s="1"/>
  <c r="AU104" i="15" s="1"/>
  <c r="AV104" i="15" s="1"/>
  <c r="AL104" i="15"/>
  <c r="N105" i="15"/>
  <c r="L105" i="15" s="1"/>
  <c r="Z105" i="15" s="1"/>
  <c r="AS105" i="15" s="1"/>
  <c r="AR105" i="15" s="1"/>
  <c r="AU105" i="15" s="1"/>
  <c r="AV105" i="15" s="1"/>
  <c r="AL105" i="15"/>
  <c r="N107" i="15"/>
  <c r="L107" i="15" s="1"/>
  <c r="AL107" i="15"/>
  <c r="N108" i="15"/>
  <c r="L108" i="15" s="1"/>
  <c r="Z108" i="15" s="1"/>
  <c r="AL108" i="15"/>
  <c r="N110" i="15"/>
  <c r="L110" i="15" s="1"/>
  <c r="AL110" i="15"/>
  <c r="N111" i="15"/>
  <c r="L111" i="15" s="1"/>
  <c r="Z111" i="15" s="1"/>
  <c r="AS111" i="15" s="1"/>
  <c r="AR111" i="15" s="1"/>
  <c r="AU111" i="15" s="1"/>
  <c r="AV111" i="15" s="1"/>
  <c r="AL111" i="15"/>
  <c r="N112" i="15"/>
  <c r="L112" i="15" s="1"/>
  <c r="AL112" i="15"/>
  <c r="N113" i="15"/>
  <c r="L113" i="15" s="1"/>
  <c r="Z113" i="15" s="1"/>
  <c r="AS113" i="15" s="1"/>
  <c r="AR113" i="15" s="1"/>
  <c r="AU113" i="15" s="1"/>
  <c r="AV113" i="15" s="1"/>
  <c r="AL113" i="15"/>
  <c r="N115" i="15"/>
  <c r="L115" i="15" s="1"/>
  <c r="AL115" i="15"/>
  <c r="N21" i="15"/>
  <c r="L21" i="15" s="1"/>
  <c r="AL21" i="15"/>
  <c r="N55" i="15"/>
  <c r="L55" i="15" s="1"/>
  <c r="AL55" i="15"/>
  <c r="N94" i="15"/>
  <c r="L94" i="15" s="1"/>
  <c r="AL94" i="15"/>
  <c r="AH15" i="16"/>
  <c r="Y15" i="16"/>
  <c r="X15" i="16"/>
  <c r="M15" i="16"/>
  <c r="L15" i="16" s="1"/>
  <c r="K15" i="16" s="1"/>
  <c r="AJ14" i="16"/>
  <c r="AH14" i="16"/>
  <c r="U14" i="16"/>
  <c r="Z14" i="16" s="1"/>
  <c r="M14" i="16"/>
  <c r="L14" i="16" s="1"/>
  <c r="V14" i="16" s="1"/>
  <c r="AC13" i="16"/>
  <c r="AD13" i="16" s="1"/>
  <c r="AH13" i="16" s="1"/>
  <c r="AB13" i="16"/>
  <c r="Q13" i="16"/>
  <c r="Q16" i="16" s="1"/>
  <c r="M13" i="16"/>
  <c r="AH12" i="16"/>
  <c r="AB12" i="16"/>
  <c r="U12" i="16"/>
  <c r="Z12" i="16" s="1"/>
  <c r="M12" i="16"/>
  <c r="L12" i="16" s="1"/>
  <c r="V12" i="16" s="1"/>
  <c r="AB11" i="16"/>
  <c r="X11" i="16"/>
  <c r="AC11" i="16" s="1"/>
  <c r="U11" i="16"/>
  <c r="Z11" i="16" s="1"/>
  <c r="S11" i="16"/>
  <c r="S16" i="16" s="1"/>
  <c r="P11" i="16"/>
  <c r="P16" i="16" s="1"/>
  <c r="O11" i="16"/>
  <c r="AH10" i="16"/>
  <c r="AB10" i="16"/>
  <c r="M10" i="16"/>
  <c r="L10" i="16" s="1"/>
  <c r="K10" i="16" s="1"/>
  <c r="AH9" i="16"/>
  <c r="M9" i="16"/>
  <c r="L9" i="16" s="1"/>
  <c r="K9" i="16" s="1"/>
  <c r="J9" i="16"/>
  <c r="AJ8" i="16"/>
  <c r="Y8" i="16"/>
  <c r="AD8" i="16" s="1"/>
  <c r="M8" i="16"/>
  <c r="L8" i="16" s="1"/>
  <c r="K8" i="16" s="1"/>
  <c r="Y7" i="16"/>
  <c r="X7" i="16"/>
  <c r="M7" i="16"/>
  <c r="L7" i="16" s="1"/>
  <c r="K7" i="16" s="1"/>
  <c r="AD6" i="16"/>
  <c r="AC6" i="16"/>
  <c r="R6" i="16"/>
  <c r="R16" i="16" s="1"/>
  <c r="AH5" i="16"/>
  <c r="AB5" i="16"/>
  <c r="M5" i="16"/>
  <c r="L5" i="16" s="1"/>
  <c r="K5" i="16" s="1"/>
  <c r="AC4" i="16"/>
  <c r="AH4" i="16" s="1"/>
  <c r="AB4" i="16"/>
  <c r="M4" i="16"/>
  <c r="L4" i="16" s="1"/>
  <c r="K4" i="16" s="1"/>
  <c r="AD3" i="16"/>
  <c r="AC3" i="16"/>
  <c r="U3" i="16"/>
  <c r="Z3" i="16" s="1"/>
  <c r="M3" i="16"/>
  <c r="L3" i="16" s="1"/>
  <c r="AD2" i="16"/>
  <c r="AC2" i="16"/>
  <c r="AB2" i="16"/>
  <c r="M2" i="16"/>
  <c r="L2" i="16" s="1"/>
  <c r="K2" i="16" s="1"/>
  <c r="H108" i="1"/>
  <c r="I108" i="1"/>
  <c r="G108" i="1"/>
  <c r="E8" i="18" s="1"/>
  <c r="AL114" i="15"/>
  <c r="N114" i="15"/>
  <c r="L114" i="15" s="1"/>
  <c r="Y114" i="15" s="1"/>
  <c r="AD114" i="15" s="1"/>
  <c r="AL109" i="15"/>
  <c r="N109" i="15"/>
  <c r="L109" i="15" s="1"/>
  <c r="AL106" i="15"/>
  <c r="N106" i="15"/>
  <c r="L106" i="15" s="1"/>
  <c r="Z106" i="15" s="1"/>
  <c r="AL100" i="15"/>
  <c r="N100" i="15"/>
  <c r="L100" i="15" s="1"/>
  <c r="AL98" i="15"/>
  <c r="N98" i="15"/>
  <c r="L98" i="15" s="1"/>
  <c r="Z98" i="15" s="1"/>
  <c r="AL96" i="15"/>
  <c r="N96" i="15"/>
  <c r="L96" i="15" s="1"/>
  <c r="AL89" i="15"/>
  <c r="N89" i="15"/>
  <c r="L89" i="15" s="1"/>
  <c r="AL87" i="15"/>
  <c r="N87" i="15"/>
  <c r="L87" i="15" s="1"/>
  <c r="AL80" i="15"/>
  <c r="N80" i="15"/>
  <c r="L80" i="15" s="1"/>
  <c r="Z80" i="15" s="1"/>
  <c r="AL78" i="15"/>
  <c r="N78" i="15"/>
  <c r="L78" i="15" s="1"/>
  <c r="AL75" i="15"/>
  <c r="N75" i="15"/>
  <c r="L75" i="15" s="1"/>
  <c r="AL71" i="15"/>
  <c r="N71" i="15"/>
  <c r="L71" i="15" s="1"/>
  <c r="AL64" i="15"/>
  <c r="N64" i="15"/>
  <c r="L64" i="15" s="1"/>
  <c r="Z64" i="15" s="1"/>
  <c r="AS64" i="15" s="1"/>
  <c r="AR64" i="15" s="1"/>
  <c r="AU64" i="15" s="1"/>
  <c r="AV64" i="15" s="1"/>
  <c r="AL62" i="15"/>
  <c r="N62" i="15"/>
  <c r="L62" i="15" s="1"/>
  <c r="AL61" i="15"/>
  <c r="N61" i="15"/>
  <c r="L61" i="15" s="1"/>
  <c r="AL59" i="15"/>
  <c r="N59" i="15"/>
  <c r="L59" i="15" s="1"/>
  <c r="Y59" i="15" s="1"/>
  <c r="AD59" i="15" s="1"/>
  <c r="AL50" i="15"/>
  <c r="N50" i="15"/>
  <c r="L50" i="15" s="1"/>
  <c r="AL47" i="15"/>
  <c r="N47" i="15"/>
  <c r="L47" i="15" s="1"/>
  <c r="Z47" i="15" s="1"/>
  <c r="AS47" i="15" s="1"/>
  <c r="AR47" i="15" s="1"/>
  <c r="AU47" i="15" s="1"/>
  <c r="AV47" i="15" s="1"/>
  <c r="AL46" i="15"/>
  <c r="N46" i="15"/>
  <c r="L46" i="15" s="1"/>
  <c r="AL38" i="15"/>
  <c r="N38" i="15"/>
  <c r="L38" i="15" s="1"/>
  <c r="AL36" i="15"/>
  <c r="N36" i="15"/>
  <c r="L36" i="15" s="1"/>
  <c r="Z36" i="15" s="1"/>
  <c r="AE36" i="15" s="1"/>
  <c r="AL30" i="15"/>
  <c r="N30" i="15"/>
  <c r="L30" i="15" s="1"/>
  <c r="AL24" i="15"/>
  <c r="N24" i="15"/>
  <c r="L24" i="15" s="1"/>
  <c r="AL23" i="15"/>
  <c r="N23" i="15"/>
  <c r="L23" i="15" s="1"/>
  <c r="Z23" i="15" s="1"/>
  <c r="AE23" i="15" s="1"/>
  <c r="AL16" i="15"/>
  <c r="N16" i="15"/>
  <c r="L16" i="15" s="1"/>
  <c r="AL13" i="15"/>
  <c r="N13" i="15"/>
  <c r="L13" i="15" s="1"/>
  <c r="Z13" i="15" s="1"/>
  <c r="AE13" i="15" s="1"/>
  <c r="AL11" i="15"/>
  <c r="N11" i="15"/>
  <c r="L11" i="15" s="1"/>
  <c r="AL6" i="15"/>
  <c r="N6" i="15"/>
  <c r="L6" i="15" s="1"/>
  <c r="AL5" i="15"/>
  <c r="N5" i="15"/>
  <c r="AL4" i="15"/>
  <c r="N4" i="15"/>
  <c r="L4" i="15" s="1"/>
  <c r="AL3" i="15"/>
  <c r="N3" i="15"/>
  <c r="L3" i="15" s="1"/>
  <c r="AH23" i="14"/>
  <c r="AJ23" i="14"/>
  <c r="AN23" i="14" s="1"/>
  <c r="I36" i="9"/>
  <c r="I43" i="9" s="1"/>
  <c r="B13" i="29" s="1"/>
  <c r="B16" i="29" s="1"/>
  <c r="V6" i="29" s="1"/>
  <c r="L23" i="14"/>
  <c r="AN22" i="14"/>
  <c r="N22" i="14"/>
  <c r="L22" i="14" s="1"/>
  <c r="AN21" i="14"/>
  <c r="AH21" i="14"/>
  <c r="Q21" i="14"/>
  <c r="Q24" i="14" s="1"/>
  <c r="O21" i="14"/>
  <c r="N21" i="14"/>
  <c r="AQ20" i="14"/>
  <c r="AN20" i="14"/>
  <c r="AH20" i="14"/>
  <c r="AE20" i="14"/>
  <c r="AD20" i="14"/>
  <c r="W20" i="14"/>
  <c r="W24" i="14" s="1"/>
  <c r="AQ19" i="14"/>
  <c r="AN19" i="14"/>
  <c r="AA19" i="14"/>
  <c r="AF19" i="14" s="1"/>
  <c r="N19" i="14"/>
  <c r="L19" i="14" s="1"/>
  <c r="AB19" i="14" s="1"/>
  <c r="AP18" i="14"/>
  <c r="AN18" i="14"/>
  <c r="AH18" i="14"/>
  <c r="AA18" i="14"/>
  <c r="AF18" i="14" s="1"/>
  <c r="N18" i="14"/>
  <c r="L18" i="14" s="1"/>
  <c r="AB18" i="14" s="1"/>
  <c r="AN17" i="14"/>
  <c r="AA17" i="14"/>
  <c r="AF17" i="14" s="1"/>
  <c r="N17" i="14"/>
  <c r="L17" i="14" s="1"/>
  <c r="AB17" i="14" s="1"/>
  <c r="AV17" i="14" s="1"/>
  <c r="AP16" i="14"/>
  <c r="AN16" i="14"/>
  <c r="AE16" i="14"/>
  <c r="AD16" i="14"/>
  <c r="AA16" i="14"/>
  <c r="N16" i="14"/>
  <c r="L16" i="14" s="1"/>
  <c r="AB16" i="14" s="1"/>
  <c r="AN15" i="14"/>
  <c r="AO15" i="14" s="1"/>
  <c r="N15" i="14"/>
  <c r="BC14" i="14"/>
  <c r="AI14" i="14"/>
  <c r="AN14" i="14" s="1"/>
  <c r="AO14" i="14" s="1"/>
  <c r="AA14" i="14"/>
  <c r="AF14" i="14" s="1"/>
  <c r="N14" i="14"/>
  <c r="L14" i="14" s="1"/>
  <c r="AB14" i="14" s="1"/>
  <c r="AN13" i="14"/>
  <c r="BB13" i="14" s="1"/>
  <c r="BC13" i="14" s="1"/>
  <c r="N13" i="14"/>
  <c r="L13" i="14" s="1"/>
  <c r="K13" i="14" s="1"/>
  <c r="AI12" i="14"/>
  <c r="AN12" i="14" s="1"/>
  <c r="AH12" i="14"/>
  <c r="AD12" i="14"/>
  <c r="AA12" i="14"/>
  <c r="AF12" i="14" s="1"/>
  <c r="N12" i="14"/>
  <c r="L12" i="14" s="1"/>
  <c r="AB12" i="14" s="1"/>
  <c r="AN11" i="14"/>
  <c r="AO11" i="14" s="1"/>
  <c r="N11" i="14"/>
  <c r="L11" i="14" s="1"/>
  <c r="K11" i="14" s="1"/>
  <c r="AN10" i="14"/>
  <c r="BB10" i="14" s="1"/>
  <c r="BC10" i="14" s="1"/>
  <c r="N10" i="14"/>
  <c r="L10" i="14" s="1"/>
  <c r="K10" i="14" s="1"/>
  <c r="AP9" i="14"/>
  <c r="AN9" i="14"/>
  <c r="AD9" i="14"/>
  <c r="AA9" i="14"/>
  <c r="AF9" i="14" s="1"/>
  <c r="N9" i="14"/>
  <c r="L9" i="14" s="1"/>
  <c r="AB9" i="14" s="1"/>
  <c r="AG9" i="14" s="1"/>
  <c r="AO9" i="14" s="1"/>
  <c r="AP8" i="14"/>
  <c r="AN8" i="14"/>
  <c r="N8" i="14"/>
  <c r="L8" i="14" s="1"/>
  <c r="K8" i="14"/>
  <c r="J8" i="14"/>
  <c r="AN7" i="14"/>
  <c r="AE7" i="14"/>
  <c r="AD7" i="14"/>
  <c r="N7" i="14"/>
  <c r="L7" i="14" s="1"/>
  <c r="K7" i="14"/>
  <c r="J7" i="14"/>
  <c r="AN6" i="14"/>
  <c r="AH6" i="14"/>
  <c r="AA6" i="14"/>
  <c r="AF6" i="14" s="1"/>
  <c r="N6" i="14"/>
  <c r="L6" i="14" s="1"/>
  <c r="AB6" i="14" s="1"/>
  <c r="AN5" i="14"/>
  <c r="N5" i="14"/>
  <c r="L5" i="14" s="1"/>
  <c r="K5" i="14" s="1"/>
  <c r="AI4" i="14"/>
  <c r="AN4" i="14" s="1"/>
  <c r="AH4" i="14"/>
  <c r="N4" i="14"/>
  <c r="L4" i="14" s="1"/>
  <c r="AN3" i="14"/>
  <c r="N3" i="14"/>
  <c r="L3" i="14" s="1"/>
  <c r="K3" i="14" s="1"/>
  <c r="J3" i="14"/>
  <c r="AI2" i="14"/>
  <c r="AJ2" i="14" s="1"/>
  <c r="AH2" i="14"/>
  <c r="AD2" i="14"/>
  <c r="N2" i="14"/>
  <c r="L2" i="14" s="1"/>
  <c r="AN7" i="13"/>
  <c r="AO7" i="13" s="1"/>
  <c r="AR7" i="13" s="1"/>
  <c r="AH7" i="13"/>
  <c r="AA7" i="13"/>
  <c r="N7" i="13"/>
  <c r="L7" i="13" s="1"/>
  <c r="AB7" i="13" s="1"/>
  <c r="AN6" i="13"/>
  <c r="AH6" i="13"/>
  <c r="AA6" i="13"/>
  <c r="AF6" i="13" s="1"/>
  <c r="N6" i="13"/>
  <c r="L6" i="13" s="1"/>
  <c r="AB6" i="13" s="1"/>
  <c r="N5" i="13"/>
  <c r="L5" i="13"/>
  <c r="K5" i="13" s="1"/>
  <c r="AA5" i="13" s="1"/>
  <c r="AH4" i="13"/>
  <c r="AA4" i="13"/>
  <c r="N4" i="13"/>
  <c r="L4" i="13"/>
  <c r="AB4" i="13" s="1"/>
  <c r="N3" i="13"/>
  <c r="AA3" i="13"/>
  <c r="AN2" i="13"/>
  <c r="AH2" i="13"/>
  <c r="AA2" i="13"/>
  <c r="AF2" i="13"/>
  <c r="N2" i="13"/>
  <c r="L2" i="13" s="1"/>
  <c r="AB2" i="13" s="1"/>
  <c r="M2" i="8"/>
  <c r="L2" i="8" s="1"/>
  <c r="Z2" i="8"/>
  <c r="AE2" i="8" s="1"/>
  <c r="AG2" i="8"/>
  <c r="AM2" i="8"/>
  <c r="AO2" i="8"/>
  <c r="T3" i="8"/>
  <c r="U3" i="8"/>
  <c r="Z3" i="8"/>
  <c r="AE3" i="8" s="1"/>
  <c r="AM3" i="8"/>
  <c r="AR3" i="8"/>
  <c r="AQ3" i="8" s="1"/>
  <c r="Q4" i="8"/>
  <c r="R4" i="8"/>
  <c r="M4" i="8" s="1"/>
  <c r="Z4" i="8"/>
  <c r="AE4" i="8" s="1"/>
  <c r="AI4" i="8"/>
  <c r="AM4" i="8" s="1"/>
  <c r="M5" i="8"/>
  <c r="L5" i="8" s="1"/>
  <c r="AA5" i="8" s="1"/>
  <c r="Z5" i="8"/>
  <c r="AE5" i="8" s="1"/>
  <c r="AG5" i="8"/>
  <c r="AM5" i="8"/>
  <c r="R6" i="8"/>
  <c r="Z6" i="8"/>
  <c r="AE6" i="8" s="1"/>
  <c r="AG6" i="8"/>
  <c r="AI6" i="8"/>
  <c r="AM6" i="8" s="1"/>
  <c r="AP6" i="8"/>
  <c r="V7" i="8"/>
  <c r="Z7" i="8"/>
  <c r="AE7" i="8" s="1"/>
  <c r="AG7" i="8"/>
  <c r="AM7" i="8"/>
  <c r="M8" i="8"/>
  <c r="L8" i="8" s="1"/>
  <c r="AA8" i="8" s="1"/>
  <c r="Z8" i="8"/>
  <c r="AE8" i="8" s="1"/>
  <c r="AM8" i="8"/>
  <c r="M9" i="8"/>
  <c r="L9" i="8" s="1"/>
  <c r="AA9" i="8" s="1"/>
  <c r="Z9" i="8"/>
  <c r="AE9" i="8" s="1"/>
  <c r="AG9" i="8"/>
  <c r="AM9" i="8"/>
  <c r="M10" i="8"/>
  <c r="L10" i="8" s="1"/>
  <c r="K10" i="8" s="1"/>
  <c r="AG10" i="8"/>
  <c r="AI10" i="8"/>
  <c r="AM10" i="8" s="1"/>
  <c r="M11" i="8"/>
  <c r="L11" i="8" s="1"/>
  <c r="AM11" i="8"/>
  <c r="K12" i="8"/>
  <c r="Z12" i="8" s="1"/>
  <c r="AE12" i="8" s="1"/>
  <c r="R12" i="8"/>
  <c r="U12" i="8"/>
  <c r="M12" i="8" s="1"/>
  <c r="L12" i="8" s="1"/>
  <c r="AA12" i="8" s="1"/>
  <c r="AF12" i="8" s="1"/>
  <c r="AG12" i="8"/>
  <c r="AM12" i="8"/>
  <c r="V13" i="8"/>
  <c r="Z13" i="8"/>
  <c r="AE13" i="8" s="1"/>
  <c r="AM13" i="8"/>
  <c r="K14" i="8"/>
  <c r="Z14" i="8" s="1"/>
  <c r="AE14" i="8" s="1"/>
  <c r="V14" i="8"/>
  <c r="AG14" i="8"/>
  <c r="AM14" i="8"/>
  <c r="M15" i="8"/>
  <c r="L15" i="8" s="1"/>
  <c r="Y15" i="8"/>
  <c r="Y17" i="8" s="1"/>
  <c r="J17" i="8" s="1"/>
  <c r="H2" i="18" s="1"/>
  <c r="AM15" i="8"/>
  <c r="AO15" i="8"/>
  <c r="M16" i="8"/>
  <c r="L16" i="8" s="1"/>
  <c r="K16" i="8" s="1"/>
  <c r="AG16" i="8"/>
  <c r="AM16" i="8"/>
  <c r="AN10" i="12"/>
  <c r="AH10" i="12"/>
  <c r="AA10" i="12"/>
  <c r="AF10" i="12" s="1"/>
  <c r="N10" i="12"/>
  <c r="L10" i="12" s="1"/>
  <c r="AB10" i="12" s="1"/>
  <c r="AN5" i="12"/>
  <c r="AA5" i="12"/>
  <c r="AF5" i="12" s="1"/>
  <c r="R5" i="12"/>
  <c r="N5" i="12"/>
  <c r="AJ3" i="12"/>
  <c r="AN3" i="12" s="1"/>
  <c r="AA3" i="12"/>
  <c r="AN9" i="12"/>
  <c r="AH9" i="12"/>
  <c r="L9" i="12"/>
  <c r="K9" i="12"/>
  <c r="J9" i="12"/>
  <c r="AN8" i="12"/>
  <c r="AO8" i="12" s="1"/>
  <c r="AP2" i="12"/>
  <c r="AN2" i="12"/>
  <c r="AH2" i="12"/>
  <c r="AA2" i="12"/>
  <c r="N2" i="12"/>
  <c r="L2" i="12" s="1"/>
  <c r="AB2" i="12" s="1"/>
  <c r="AN4" i="12"/>
  <c r="AA4" i="12"/>
  <c r="AF4" i="12" s="1"/>
  <c r="O4" i="12"/>
  <c r="N4" i="12"/>
  <c r="AN11" i="12"/>
  <c r="AO11" i="12" s="1"/>
  <c r="N11" i="12"/>
  <c r="AN6" i="12"/>
  <c r="AD6" i="12"/>
  <c r="AA6" i="12"/>
  <c r="AF6" i="12" s="1"/>
  <c r="N6" i="12"/>
  <c r="L6" i="12" s="1"/>
  <c r="Q22" i="11"/>
  <c r="B43" i="9"/>
  <c r="G49" i="10"/>
  <c r="F49" i="10"/>
  <c r="F3" i="10"/>
  <c r="F4" i="10"/>
  <c r="F5" i="10"/>
  <c r="F6" i="10"/>
  <c r="F7" i="10"/>
  <c r="F8" i="10"/>
  <c r="F9" i="10"/>
  <c r="F10" i="10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46" i="10"/>
  <c r="F47" i="10"/>
  <c r="F48" i="10"/>
  <c r="F2" i="10"/>
  <c r="E49" i="10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32" i="10"/>
  <c r="E33" i="10"/>
  <c r="E34" i="10"/>
  <c r="E35" i="10"/>
  <c r="E36" i="10"/>
  <c r="E37" i="10"/>
  <c r="E38" i="10"/>
  <c r="E39" i="10"/>
  <c r="E40" i="10"/>
  <c r="E41" i="10"/>
  <c r="E42" i="10"/>
  <c r="E43" i="10"/>
  <c r="E44" i="10"/>
  <c r="E45" i="10"/>
  <c r="E46" i="10"/>
  <c r="E47" i="10"/>
  <c r="E48" i="10"/>
  <c r="E2" i="10"/>
  <c r="D49" i="10"/>
  <c r="C49" i="10"/>
  <c r="F42" i="9"/>
  <c r="D42" i="9"/>
  <c r="C42" i="9"/>
  <c r="H42" i="9"/>
  <c r="J42" i="9" s="1"/>
  <c r="C45" i="10"/>
  <c r="C43" i="10"/>
  <c r="B43" i="10"/>
  <c r="B39" i="10"/>
  <c r="C38" i="10"/>
  <c r="B38" i="10"/>
  <c r="B36" i="10"/>
  <c r="B33" i="10"/>
  <c r="C27" i="10"/>
  <c r="B16" i="10"/>
  <c r="C14" i="10"/>
  <c r="B14" i="10"/>
  <c r="C13" i="10"/>
  <c r="B2" i="10"/>
  <c r="G41" i="9"/>
  <c r="F41" i="9"/>
  <c r="C41" i="9"/>
  <c r="H41" i="9"/>
  <c r="J41" i="9" s="1"/>
  <c r="O41" i="9" s="1"/>
  <c r="P41" i="9" s="1"/>
  <c r="G40" i="9"/>
  <c r="F40" i="9"/>
  <c r="D40" i="9"/>
  <c r="C40" i="9"/>
  <c r="H40" i="9"/>
  <c r="J40" i="9" s="1"/>
  <c r="F39" i="9"/>
  <c r="N39" i="9" s="1"/>
  <c r="D39" i="9"/>
  <c r="C39" i="9"/>
  <c r="K39" i="9" s="1"/>
  <c r="H39" i="9"/>
  <c r="J39" i="9" s="1"/>
  <c r="G38" i="9"/>
  <c r="F38" i="9"/>
  <c r="D38" i="9"/>
  <c r="L38" i="9" s="1"/>
  <c r="C38" i="9"/>
  <c r="H38" i="9"/>
  <c r="J38" i="9" s="1"/>
  <c r="G37" i="9"/>
  <c r="F37" i="9"/>
  <c r="N37" i="9" s="1"/>
  <c r="H37" i="9"/>
  <c r="J37" i="9" s="1"/>
  <c r="G36" i="9"/>
  <c r="F36" i="9"/>
  <c r="D36" i="9"/>
  <c r="C36" i="9"/>
  <c r="H36" i="9"/>
  <c r="F35" i="9"/>
  <c r="H35" i="9"/>
  <c r="J35" i="9" s="1"/>
  <c r="F34" i="9"/>
  <c r="H34" i="9"/>
  <c r="J34" i="9" s="1"/>
  <c r="D33" i="9"/>
  <c r="C33" i="9"/>
  <c r="K33" i="9" s="1"/>
  <c r="H33" i="9"/>
  <c r="J33" i="9" s="1"/>
  <c r="G32" i="9"/>
  <c r="F32" i="9"/>
  <c r="H32" i="9"/>
  <c r="J32" i="9" s="1"/>
  <c r="F31" i="9"/>
  <c r="H31" i="9"/>
  <c r="J31" i="9" s="1"/>
  <c r="F30" i="9"/>
  <c r="D30" i="9"/>
  <c r="C30" i="9"/>
  <c r="H30" i="9"/>
  <c r="J30" i="9" s="1"/>
  <c r="F29" i="9"/>
  <c r="D29" i="9"/>
  <c r="C29" i="9"/>
  <c r="H29" i="9"/>
  <c r="J29" i="9" s="1"/>
  <c r="G28" i="9"/>
  <c r="F28" i="9"/>
  <c r="C28" i="9"/>
  <c r="D28" i="9"/>
  <c r="H28" i="9"/>
  <c r="J28" i="9" s="1"/>
  <c r="M28" i="9" s="1"/>
  <c r="F27" i="9"/>
  <c r="N27" i="9" s="1"/>
  <c r="D27" i="9"/>
  <c r="C27" i="9"/>
  <c r="H27" i="9"/>
  <c r="J27" i="9" s="1"/>
  <c r="F26" i="9"/>
  <c r="H26" i="9"/>
  <c r="J26" i="9" s="1"/>
  <c r="F25" i="9"/>
  <c r="N25" i="9" s="1"/>
  <c r="D25" i="9"/>
  <c r="C25" i="9"/>
  <c r="K25" i="9" s="1"/>
  <c r="H25" i="9"/>
  <c r="J25" i="9" s="1"/>
  <c r="G24" i="9"/>
  <c r="F24" i="9"/>
  <c r="D24" i="9"/>
  <c r="C24" i="9"/>
  <c r="H24" i="9"/>
  <c r="J24" i="9" s="1"/>
  <c r="G23" i="9"/>
  <c r="F23" i="9"/>
  <c r="N23" i="9" s="1"/>
  <c r="D23" i="9"/>
  <c r="C23" i="9"/>
  <c r="H23" i="9"/>
  <c r="J23" i="9" s="1"/>
  <c r="G22" i="9"/>
  <c r="F22" i="9"/>
  <c r="H22" i="9"/>
  <c r="J22" i="9" s="1"/>
  <c r="G21" i="9"/>
  <c r="F21" i="9"/>
  <c r="N21" i="9" s="1"/>
  <c r="H21" i="9"/>
  <c r="J21" i="9" s="1"/>
  <c r="F20" i="9"/>
  <c r="D20" i="9"/>
  <c r="C20" i="9"/>
  <c r="H20" i="9"/>
  <c r="J20" i="9" s="1"/>
  <c r="G19" i="9"/>
  <c r="F19" i="9"/>
  <c r="H19" i="9"/>
  <c r="J19" i="9" s="1"/>
  <c r="G18" i="9"/>
  <c r="F18" i="9"/>
  <c r="H18" i="9"/>
  <c r="J18" i="9" s="1"/>
  <c r="G17" i="9"/>
  <c r="O17" i="9" s="1"/>
  <c r="P17" i="9" s="1"/>
  <c r="F17" i="9"/>
  <c r="D17" i="9"/>
  <c r="C17" i="9"/>
  <c r="H17" i="9"/>
  <c r="J17" i="9" s="1"/>
  <c r="M17" i="9" s="1"/>
  <c r="G16" i="9"/>
  <c r="F16" i="9"/>
  <c r="N16" i="9" s="1"/>
  <c r="D16" i="9"/>
  <c r="C16" i="9"/>
  <c r="K16" i="9" s="1"/>
  <c r="H16" i="9"/>
  <c r="J16" i="9" s="1"/>
  <c r="M16" i="9" s="1"/>
  <c r="F15" i="9"/>
  <c r="D15" i="9"/>
  <c r="C15" i="9"/>
  <c r="H15" i="9"/>
  <c r="J15" i="9" s="1"/>
  <c r="F14" i="9"/>
  <c r="G14" i="9"/>
  <c r="D14" i="9"/>
  <c r="C14" i="9"/>
  <c r="H14" i="9"/>
  <c r="J14" i="9" s="1"/>
  <c r="G13" i="9"/>
  <c r="F13" i="9"/>
  <c r="H13" i="9"/>
  <c r="J13" i="9" s="1"/>
  <c r="F12" i="9"/>
  <c r="H12" i="9"/>
  <c r="J12" i="9" s="1"/>
  <c r="G11" i="9"/>
  <c r="O11" i="9" s="1"/>
  <c r="P11" i="9" s="1"/>
  <c r="F11" i="9"/>
  <c r="E11" i="9"/>
  <c r="M11" i="9" s="1"/>
  <c r="C11" i="9"/>
  <c r="D11" i="9"/>
  <c r="L11" i="9" s="1"/>
  <c r="H11" i="9"/>
  <c r="J11" i="9" s="1"/>
  <c r="N11" i="9" s="1"/>
  <c r="G10" i="9"/>
  <c r="F10" i="9"/>
  <c r="D10" i="9"/>
  <c r="C10" i="9"/>
  <c r="H10" i="9"/>
  <c r="J10" i="9" s="1"/>
  <c r="G9" i="9"/>
  <c r="F9" i="9"/>
  <c r="N9" i="9" s="1"/>
  <c r="E9" i="9"/>
  <c r="C9" i="9"/>
  <c r="H9" i="9"/>
  <c r="J9" i="9" s="1"/>
  <c r="G8" i="9"/>
  <c r="F8" i="9"/>
  <c r="D8" i="9"/>
  <c r="C8" i="9"/>
  <c r="H8" i="9"/>
  <c r="J8" i="9" s="1"/>
  <c r="K8" i="9" s="1"/>
  <c r="F7" i="9"/>
  <c r="D7" i="9"/>
  <c r="C7" i="9"/>
  <c r="K7" i="9" s="1"/>
  <c r="H7" i="9"/>
  <c r="J7" i="9" s="1"/>
  <c r="M7" i="9" s="1"/>
  <c r="H6" i="9"/>
  <c r="J6" i="9" s="1"/>
  <c r="G6" i="9"/>
  <c r="F6" i="9"/>
  <c r="H5" i="9"/>
  <c r="J5" i="9" s="1"/>
  <c r="M5" i="9" s="1"/>
  <c r="G5" i="9"/>
  <c r="F5" i="9"/>
  <c r="E5" i="9"/>
  <c r="D5" i="9"/>
  <c r="C5" i="9"/>
  <c r="F3" i="9"/>
  <c r="F2" i="9"/>
  <c r="D4" i="9"/>
  <c r="C4" i="9"/>
  <c r="H4" i="9"/>
  <c r="G3" i="9"/>
  <c r="E3" i="9"/>
  <c r="M3" i="9" s="1"/>
  <c r="D3" i="9"/>
  <c r="C3" i="9"/>
  <c r="H3" i="9"/>
  <c r="J3" i="9" s="1"/>
  <c r="O3" i="9" s="1"/>
  <c r="P3" i="9" s="1"/>
  <c r="G2" i="9"/>
  <c r="H2" i="9"/>
  <c r="J2" i="9" s="1"/>
  <c r="C2" i="9"/>
  <c r="J5" i="7"/>
  <c r="N12" i="3"/>
  <c r="F12" i="3"/>
  <c r="F22" i="3" s="1"/>
  <c r="K13" i="3"/>
  <c r="H13" i="3"/>
  <c r="K4" i="3"/>
  <c r="K9" i="3"/>
  <c r="S16" i="3"/>
  <c r="R16" i="3"/>
  <c r="W16" i="3" s="1"/>
  <c r="K16" i="3"/>
  <c r="K2" i="3"/>
  <c r="K14" i="3"/>
  <c r="K3" i="3"/>
  <c r="O15" i="3"/>
  <c r="H8" i="3"/>
  <c r="H3" i="3"/>
  <c r="H4" i="3"/>
  <c r="H2" i="3"/>
  <c r="W18" i="3"/>
  <c r="P2" i="3"/>
  <c r="O9" i="3"/>
  <c r="O8" i="3"/>
  <c r="O3" i="3"/>
  <c r="O25" i="3"/>
  <c r="O13" i="3"/>
  <c r="O4" i="3"/>
  <c r="O2" i="3"/>
  <c r="O18" i="3"/>
  <c r="H25" i="3"/>
  <c r="U25" i="3" s="1"/>
  <c r="H14" i="3"/>
  <c r="O14" i="3"/>
  <c r="K11" i="3"/>
  <c r="H5" i="3"/>
  <c r="H6" i="3"/>
  <c r="H7" i="3"/>
  <c r="H10" i="3"/>
  <c r="H11" i="3"/>
  <c r="W11" i="3" s="1"/>
  <c r="H16" i="3"/>
  <c r="H17" i="3"/>
  <c r="H19" i="3"/>
  <c r="H15" i="3"/>
  <c r="I6" i="3"/>
  <c r="O6" i="3" s="1"/>
  <c r="O5" i="3"/>
  <c r="O7" i="3"/>
  <c r="O10" i="3"/>
  <c r="O11" i="3"/>
  <c r="O16" i="3"/>
  <c r="O17" i="3"/>
  <c r="O19" i="3"/>
  <c r="J6" i="3"/>
  <c r="J22" i="3" s="1"/>
  <c r="F22" i="29" s="1"/>
  <c r="AB8" i="16"/>
  <c r="AU13" i="14"/>
  <c r="AU11" i="14"/>
  <c r="AU15" i="14"/>
  <c r="AA23" i="14"/>
  <c r="AF23" i="14" s="1"/>
  <c r="AB23" i="14"/>
  <c r="AG23" i="14" s="1"/>
  <c r="AU5" i="14"/>
  <c r="AU10" i="14"/>
  <c r="P6" i="3"/>
  <c r="U13" i="3"/>
  <c r="Q14" i="3"/>
  <c r="Q17" i="3"/>
  <c r="W10" i="3"/>
  <c r="O33" i="9"/>
  <c r="P33" i="9" s="1"/>
  <c r="M33" i="9"/>
  <c r="L41" i="9"/>
  <c r="M38" i="9"/>
  <c r="N17" i="9"/>
  <c r="K11" i="9"/>
  <c r="O7" i="9"/>
  <c r="P7" i="9" s="1"/>
  <c r="N8" i="9"/>
  <c r="AE39" i="15"/>
  <c r="D20" i="23"/>
  <c r="D3" i="22"/>
  <c r="D12" i="23"/>
  <c r="D2" i="22"/>
  <c r="M4" i="22"/>
  <c r="Q6" i="3"/>
  <c r="W14" i="3"/>
  <c r="W19" i="3"/>
  <c r="Q16" i="3"/>
  <c r="I22" i="3"/>
  <c r="R12" i="3"/>
  <c r="Q3" i="3"/>
  <c r="W8" i="3"/>
  <c r="R6" i="3"/>
  <c r="W6" i="3" s="1"/>
  <c r="K6" i="3"/>
  <c r="U2" i="3"/>
  <c r="AB5" i="13"/>
  <c r="V3" i="18"/>
  <c r="V5" i="18"/>
  <c r="E22" i="3" l="1"/>
  <c r="AB16" i="3"/>
  <c r="AB11" i="3"/>
  <c r="AB10" i="3"/>
  <c r="AB14" i="3"/>
  <c r="U10" i="3"/>
  <c r="M10" i="3"/>
  <c r="AC10" i="3" s="1"/>
  <c r="U3" i="3"/>
  <c r="M3" i="3"/>
  <c r="AC3" i="3" s="1"/>
  <c r="U9" i="3"/>
  <c r="M9" i="3"/>
  <c r="AC9" i="3" s="1"/>
  <c r="AB6" i="3"/>
  <c r="Q10" i="3"/>
  <c r="Q25" i="3"/>
  <c r="U17" i="3"/>
  <c r="M17" i="3"/>
  <c r="AC17" i="3" s="1"/>
  <c r="U7" i="3"/>
  <c r="M7" i="3"/>
  <c r="AC7" i="3" s="1"/>
  <c r="AB18" i="3"/>
  <c r="X18" i="3"/>
  <c r="Y18" i="3" s="1"/>
  <c r="U8" i="3"/>
  <c r="M8" i="3"/>
  <c r="AC8" i="3" s="1"/>
  <c r="AB19" i="3"/>
  <c r="W15" i="3"/>
  <c r="M15" i="3"/>
  <c r="AC15" i="3" s="1"/>
  <c r="U11" i="3"/>
  <c r="M11" i="3"/>
  <c r="AC11" i="3" s="1"/>
  <c r="U5" i="3"/>
  <c r="M5" i="3"/>
  <c r="AC5" i="3" s="1"/>
  <c r="U4" i="3"/>
  <c r="M4" i="3"/>
  <c r="AC4" i="3" s="1"/>
  <c r="W13" i="3"/>
  <c r="M13" i="3"/>
  <c r="AC13" i="3" s="1"/>
  <c r="U19" i="3"/>
  <c r="M19" i="3"/>
  <c r="AC19" i="3" s="1"/>
  <c r="AB8" i="3"/>
  <c r="Q4" i="3"/>
  <c r="Q19" i="3"/>
  <c r="W3" i="3"/>
  <c r="U16" i="3"/>
  <c r="M16" i="3"/>
  <c r="AC16" i="3" s="1"/>
  <c r="U6" i="3"/>
  <c r="M6" i="3"/>
  <c r="AC6" i="3" s="1"/>
  <c r="U14" i="3"/>
  <c r="M14" i="3"/>
  <c r="AC14" i="3" s="1"/>
  <c r="Q2" i="3"/>
  <c r="M2" i="3"/>
  <c r="Y64" i="15"/>
  <c r="AD64" i="15" s="1"/>
  <c r="Y10" i="15"/>
  <c r="AE64" i="15"/>
  <c r="AM64" i="15" s="1"/>
  <c r="AE47" i="15"/>
  <c r="AM47" i="15" s="1"/>
  <c r="AT111" i="15"/>
  <c r="AE26" i="15"/>
  <c r="AM26" i="15" s="1"/>
  <c r="AS86" i="15"/>
  <c r="AR86" i="15" s="1"/>
  <c r="AU86" i="15" s="1"/>
  <c r="AV86" i="15" s="1"/>
  <c r="AS36" i="15"/>
  <c r="AR36" i="15" s="1"/>
  <c r="AU36" i="15" s="1"/>
  <c r="AV36" i="15" s="1"/>
  <c r="AS32" i="15"/>
  <c r="AR32" i="15" s="1"/>
  <c r="AU32" i="15" s="1"/>
  <c r="AV32" i="15" s="1"/>
  <c r="Y31" i="15"/>
  <c r="AA31" i="15" s="1"/>
  <c r="AZ32" i="15"/>
  <c r="Y92" i="15"/>
  <c r="AD92" i="15" s="1"/>
  <c r="AT31" i="15"/>
  <c r="Y3" i="15"/>
  <c r="AD3" i="15" s="1"/>
  <c r="AM23" i="15"/>
  <c r="Z21" i="15"/>
  <c r="AZ21" i="15" s="1"/>
  <c r="BA21" i="15" s="1"/>
  <c r="BB21" i="15" s="1"/>
  <c r="L120" i="15"/>
  <c r="AZ104" i="15"/>
  <c r="AZ73" i="15"/>
  <c r="AZ63" i="15"/>
  <c r="AZ31" i="15"/>
  <c r="BA31" i="15" s="1"/>
  <c r="BB31" i="15" s="1"/>
  <c r="AZ26" i="15"/>
  <c r="BA26" i="15" s="1"/>
  <c r="BB26" i="15" s="1"/>
  <c r="C7" i="18"/>
  <c r="C9" i="18" s="1"/>
  <c r="K121" i="15"/>
  <c r="AE32" i="15"/>
  <c r="AM32" i="15" s="1"/>
  <c r="Y39" i="15"/>
  <c r="AD39" i="15" s="1"/>
  <c r="O13" i="12"/>
  <c r="M6" i="16"/>
  <c r="L6" i="16" s="1"/>
  <c r="K6" i="16" s="1"/>
  <c r="AB4" i="14"/>
  <c r="AG4" i="14" s="1"/>
  <c r="K4" i="14"/>
  <c r="AA4" i="14" s="1"/>
  <c r="AF4" i="14" s="1"/>
  <c r="AB22" i="14"/>
  <c r="AV22" i="14" s="1"/>
  <c r="K22" i="14"/>
  <c r="AA22" i="14" s="1"/>
  <c r="AB2" i="14"/>
  <c r="AV2" i="14" s="1"/>
  <c r="K2" i="14"/>
  <c r="AA2" i="14" s="1"/>
  <c r="AF2" i="14" s="1"/>
  <c r="BB15" i="14"/>
  <c r="BC15" i="14" s="1"/>
  <c r="BD15" i="14" s="1"/>
  <c r="AB3" i="13"/>
  <c r="AG2" i="13"/>
  <c r="AZ2" i="13"/>
  <c r="BA2" i="13" s="1"/>
  <c r="BB2" i="13" s="1"/>
  <c r="AC7" i="13"/>
  <c r="AS7" i="13"/>
  <c r="AH8" i="13"/>
  <c r="O3" i="18" s="1"/>
  <c r="N8" i="13"/>
  <c r="AF8" i="13"/>
  <c r="M3" i="18" s="1"/>
  <c r="K8" i="13"/>
  <c r="I3" i="18" s="1"/>
  <c r="AO2" i="13"/>
  <c r="AT6" i="13"/>
  <c r="AC6" i="13"/>
  <c r="AS6" i="13"/>
  <c r="AR6" i="13" s="1"/>
  <c r="AG6" i="13"/>
  <c r="AO6" i="13" s="1"/>
  <c r="AZ6" i="13"/>
  <c r="BA6" i="13" s="1"/>
  <c r="BB6" i="13" s="1"/>
  <c r="L8" i="13"/>
  <c r="J3" i="18" s="1"/>
  <c r="AC4" i="13"/>
  <c r="AG4" i="13"/>
  <c r="AG8" i="13" s="1"/>
  <c r="N3" i="18" s="1"/>
  <c r="AZ7" i="13"/>
  <c r="AS2" i="13"/>
  <c r="AR2" i="13" s="1"/>
  <c r="AU2" i="13" s="1"/>
  <c r="AT7" i="13"/>
  <c r="AU7" i="13" s="1"/>
  <c r="AV7" i="13" s="1"/>
  <c r="AC2" i="13"/>
  <c r="M3" i="8"/>
  <c r="L3" i="8" s="1"/>
  <c r="AA3" i="8" s="1"/>
  <c r="L4" i="8"/>
  <c r="AA4" i="8" s="1"/>
  <c r="AF4" i="8" s="1"/>
  <c r="AN4" i="8" s="1"/>
  <c r="AB8" i="8"/>
  <c r="AN12" i="8"/>
  <c r="AG17" i="8"/>
  <c r="O2" i="18" s="1"/>
  <c r="M14" i="8"/>
  <c r="L14" i="8" s="1"/>
  <c r="AA14" i="8" s="1"/>
  <c r="AS14" i="8" s="1"/>
  <c r="M7" i="8"/>
  <c r="L7" i="8" s="1"/>
  <c r="AA7" i="8" s="1"/>
  <c r="AF7" i="8" s="1"/>
  <c r="AN7" i="8" s="1"/>
  <c r="AQ12" i="8"/>
  <c r="AT12" i="8" s="1"/>
  <c r="AU12" i="8" s="1"/>
  <c r="AQ5" i="8"/>
  <c r="Z15" i="8"/>
  <c r="AE15" i="8" s="1"/>
  <c r="M13" i="8"/>
  <c r="L13" i="8" s="1"/>
  <c r="AA13" i="8" s="1"/>
  <c r="AF13" i="8" s="1"/>
  <c r="AN13" i="8" s="1"/>
  <c r="M6" i="8"/>
  <c r="L6" i="8" s="1"/>
  <c r="AA6" i="8" s="1"/>
  <c r="AQ6" i="8" s="1"/>
  <c r="L5" i="9"/>
  <c r="M8" i="9"/>
  <c r="M41" i="9"/>
  <c r="N7" i="9"/>
  <c r="K3" i="9"/>
  <c r="N3" i="9"/>
  <c r="N5" i="9"/>
  <c r="K9" i="9"/>
  <c r="N12" i="9"/>
  <c r="K23" i="9"/>
  <c r="K27" i="9"/>
  <c r="J36" i="9"/>
  <c r="N38" i="9"/>
  <c r="O5" i="7"/>
  <c r="O9" i="7" s="1"/>
  <c r="E17" i="29" s="1"/>
  <c r="X7" i="29" s="1"/>
  <c r="J9" i="7"/>
  <c r="F17" i="29" s="1"/>
  <c r="F18" i="29" s="1"/>
  <c r="C56" i="11"/>
  <c r="C57" i="11" s="1"/>
  <c r="C38" i="11"/>
  <c r="B8" i="29" s="1"/>
  <c r="C29" i="21"/>
  <c r="C23" i="21"/>
  <c r="D23" i="21" s="1"/>
  <c r="C24" i="21"/>
  <c r="D24" i="21" s="1"/>
  <c r="K11" i="12"/>
  <c r="AA11" i="12" s="1"/>
  <c r="L11" i="22"/>
  <c r="J11" i="22"/>
  <c r="E2" i="22"/>
  <c r="D19" i="22"/>
  <c r="M3" i="22"/>
  <c r="C19" i="22"/>
  <c r="E9" i="22"/>
  <c r="D29" i="21"/>
  <c r="E12" i="29" s="1"/>
  <c r="C26" i="21"/>
  <c r="D26" i="21" s="1"/>
  <c r="E10" i="29" s="1"/>
  <c r="C27" i="21"/>
  <c r="D27" i="21" s="1"/>
  <c r="E11" i="29" s="1"/>
  <c r="L7" i="22"/>
  <c r="J7" i="22"/>
  <c r="L5" i="22"/>
  <c r="J5" i="22"/>
  <c r="M5" i="22"/>
  <c r="J6" i="22"/>
  <c r="E15" i="22"/>
  <c r="K24" i="22"/>
  <c r="L10" i="22"/>
  <c r="E3" i="22"/>
  <c r="L14" i="22"/>
  <c r="J2" i="22"/>
  <c r="J8" i="22"/>
  <c r="L8" i="22"/>
  <c r="J3" i="22"/>
  <c r="L3" i="22"/>
  <c r="J23" i="22"/>
  <c r="E4" i="22"/>
  <c r="J18" i="22"/>
  <c r="J25" i="22"/>
  <c r="M2" i="22"/>
  <c r="Q8" i="3"/>
  <c r="Q13" i="3"/>
  <c r="W4" i="3"/>
  <c r="U18" i="3"/>
  <c r="U15" i="3"/>
  <c r="Q5" i="3"/>
  <c r="Q7" i="3"/>
  <c r="P12" i="3"/>
  <c r="P22" i="3" s="1"/>
  <c r="N22" i="3"/>
  <c r="L12" i="3"/>
  <c r="AB11" i="12"/>
  <c r="Y16" i="16"/>
  <c r="L5" i="18" s="1"/>
  <c r="AT15" i="14"/>
  <c r="AW15" i="14" s="1"/>
  <c r="AX15" i="14" s="1"/>
  <c r="AA3" i="14"/>
  <c r="AF3" i="14" s="1"/>
  <c r="AT10" i="14"/>
  <c r="AW10" i="14" s="1"/>
  <c r="AX10" i="14" s="1"/>
  <c r="BB23" i="14"/>
  <c r="AO13" i="14"/>
  <c r="AM39" i="15"/>
  <c r="AS23" i="15"/>
  <c r="AR23" i="15" s="1"/>
  <c r="AU23" i="15" s="1"/>
  <c r="AV23" i="15" s="1"/>
  <c r="Y80" i="15"/>
  <c r="AD80" i="15" s="1"/>
  <c r="Y36" i="15"/>
  <c r="AD36" i="15" s="1"/>
  <c r="AA2" i="15"/>
  <c r="Y108" i="15"/>
  <c r="AD108" i="15" s="1"/>
  <c r="AE104" i="15"/>
  <c r="AM104" i="15" s="1"/>
  <c r="Y47" i="15"/>
  <c r="AD47" i="15" s="1"/>
  <c r="Y13" i="15"/>
  <c r="AD13" i="15" s="1"/>
  <c r="Y21" i="15"/>
  <c r="AD21" i="15" s="1"/>
  <c r="AZ93" i="15"/>
  <c r="Y90" i="15"/>
  <c r="AD90" i="15" s="1"/>
  <c r="AT73" i="15"/>
  <c r="AE57" i="15"/>
  <c r="AM57" i="15" s="1"/>
  <c r="AZ39" i="15"/>
  <c r="BA39" i="15" s="1"/>
  <c r="BB39" i="15" s="1"/>
  <c r="AS63" i="15"/>
  <c r="AR63" i="15" s="1"/>
  <c r="AU63" i="15" s="1"/>
  <c r="AV63" i="15" s="1"/>
  <c r="AE90" i="15"/>
  <c r="AM90" i="15" s="1"/>
  <c r="Y63" i="15"/>
  <c r="AA63" i="15" s="1"/>
  <c r="AM63" i="15"/>
  <c r="Y33" i="15"/>
  <c r="AD33" i="15" s="1"/>
  <c r="AT63" i="15"/>
  <c r="AS26" i="15"/>
  <c r="AR26" i="15" s="1"/>
  <c r="AU26" i="15" s="1"/>
  <c r="AV26" i="15" s="1"/>
  <c r="AC7" i="16"/>
  <c r="AH7" i="16" s="1"/>
  <c r="AS31" i="15"/>
  <c r="AR31" i="15" s="1"/>
  <c r="AU31" i="15" s="1"/>
  <c r="AV31" i="15" s="1"/>
  <c r="AH6" i="16"/>
  <c r="AZ90" i="15"/>
  <c r="AZ86" i="15"/>
  <c r="BA86" i="15" s="1"/>
  <c r="BB86" i="15" s="1"/>
  <c r="Y27" i="15"/>
  <c r="AD27" i="15" s="1"/>
  <c r="AC8" i="16"/>
  <c r="AH8" i="16" s="1"/>
  <c r="AT27" i="15"/>
  <c r="AZ64" i="15"/>
  <c r="BA64" i="15" s="1"/>
  <c r="BB64" i="15" s="1"/>
  <c r="Y60" i="15"/>
  <c r="AD60" i="15" s="1"/>
  <c r="V4" i="16"/>
  <c r="AM4" i="16" s="1"/>
  <c r="AL4" i="16" s="1"/>
  <c r="U4" i="16"/>
  <c r="Z4" i="16" s="1"/>
  <c r="U9" i="16"/>
  <c r="Z9" i="16" s="1"/>
  <c r="V9" i="16"/>
  <c r="AA9" i="16" s="1"/>
  <c r="AI9" i="16" s="1"/>
  <c r="AH2" i="16"/>
  <c r="AH3" i="16"/>
  <c r="AB16" i="16"/>
  <c r="O5" i="18" s="1"/>
  <c r="Z76" i="15"/>
  <c r="Y76" i="15"/>
  <c r="AD76" i="15" s="1"/>
  <c r="Z50" i="15"/>
  <c r="AZ50" i="15" s="1"/>
  <c r="BA50" i="15" s="1"/>
  <c r="BB50" i="15" s="1"/>
  <c r="Y50" i="15"/>
  <c r="AD50" i="15" s="1"/>
  <c r="V15" i="16"/>
  <c r="U15" i="16"/>
  <c r="Z15" i="16" s="1"/>
  <c r="Z99" i="15"/>
  <c r="Y99" i="15"/>
  <c r="Z91" i="15"/>
  <c r="AZ91" i="15" s="1"/>
  <c r="Y91" i="15"/>
  <c r="AD91" i="15" s="1"/>
  <c r="Y111" i="15"/>
  <c r="AA111" i="15" s="1"/>
  <c r="L95" i="15"/>
  <c r="AE111" i="15"/>
  <c r="AM111" i="15" s="1"/>
  <c r="Y86" i="15"/>
  <c r="AD86" i="15" s="1"/>
  <c r="AE86" i="15"/>
  <c r="AM86" i="15" s="1"/>
  <c r="Y98" i="15"/>
  <c r="AD98" i="15" s="1"/>
  <c r="O16" i="16"/>
  <c r="AM27" i="15"/>
  <c r="BA32" i="15"/>
  <c r="BB32" i="15" s="1"/>
  <c r="AE73" i="15"/>
  <c r="AM73" i="15" s="1"/>
  <c r="Y57" i="15"/>
  <c r="AD57" i="15" s="1"/>
  <c r="Z59" i="15"/>
  <c r="AZ59" i="15" s="1"/>
  <c r="BA59" i="15" s="1"/>
  <c r="BB59" i="15" s="1"/>
  <c r="AD11" i="16"/>
  <c r="AH11" i="16" s="1"/>
  <c r="L13" i="16"/>
  <c r="K13" i="16" s="1"/>
  <c r="K16" i="16" s="1"/>
  <c r="I5" i="18" s="1"/>
  <c r="AZ23" i="15"/>
  <c r="BA23" i="15" s="1"/>
  <c r="BB23" i="15" s="1"/>
  <c r="X16" i="16"/>
  <c r="K5" i="18" s="1"/>
  <c r="AZ111" i="15"/>
  <c r="AO23" i="14"/>
  <c r="AU23" i="14"/>
  <c r="AT23" i="14" s="1"/>
  <c r="AQ3" i="14"/>
  <c r="AA7" i="14"/>
  <c r="AF7" i="14" s="1"/>
  <c r="AH7" i="14" s="1"/>
  <c r="AH24" i="14" s="1"/>
  <c r="O4" i="18" s="1"/>
  <c r="AC12" i="14"/>
  <c r="AV12" i="14" s="1"/>
  <c r="AC16" i="14"/>
  <c r="AV16" i="14" s="1"/>
  <c r="AT11" i="14"/>
  <c r="AW11" i="14" s="1"/>
  <c r="AX11" i="14" s="1"/>
  <c r="AD24" i="14"/>
  <c r="K4" i="18" s="1"/>
  <c r="AC19" i="14"/>
  <c r="N20" i="14"/>
  <c r="L20" i="14" s="1"/>
  <c r="L21" i="14"/>
  <c r="AO4" i="14"/>
  <c r="AG16" i="14"/>
  <c r="AO16" i="14" s="1"/>
  <c r="AO10" i="14"/>
  <c r="AT5" i="14"/>
  <c r="AW5" i="14" s="1"/>
  <c r="AX5" i="14" s="1"/>
  <c r="AB7" i="14"/>
  <c r="AG7" i="14" s="1"/>
  <c r="AO7" i="14" s="1"/>
  <c r="BD13" i="14"/>
  <c r="AB8" i="14"/>
  <c r="AG8" i="14" s="1"/>
  <c r="AO8" i="14" s="1"/>
  <c r="AF16" i="14"/>
  <c r="AA8" i="14"/>
  <c r="AF8" i="14" s="1"/>
  <c r="AU18" i="14"/>
  <c r="AT18" i="14" s="1"/>
  <c r="AW18" i="14" s="1"/>
  <c r="AX18" i="14" s="1"/>
  <c r="AC18" i="14"/>
  <c r="AG18" i="14"/>
  <c r="AO18" i="14" s="1"/>
  <c r="AU7" i="14"/>
  <c r="AT7" i="14" s="1"/>
  <c r="AW7" i="14" s="1"/>
  <c r="AX7" i="14" s="1"/>
  <c r="J24" i="14"/>
  <c r="H4" i="18" s="1"/>
  <c r="BB12" i="14"/>
  <c r="AV23" i="14"/>
  <c r="AC23" i="14"/>
  <c r="BB11" i="14"/>
  <c r="BC11" i="14" s="1"/>
  <c r="BD11" i="14" s="1"/>
  <c r="AB3" i="14"/>
  <c r="AE24" i="14"/>
  <c r="L4" i="18" s="1"/>
  <c r="BB19" i="14"/>
  <c r="O24" i="14"/>
  <c r="AU14" i="14"/>
  <c r="AW14" i="14" s="1"/>
  <c r="AX14" i="14" s="1"/>
  <c r="AC14" i="14"/>
  <c r="AG6" i="14"/>
  <c r="AO6" i="14" s="1"/>
  <c r="AV6" i="14"/>
  <c r="AT6" i="14"/>
  <c r="AC6" i="14"/>
  <c r="BD10" i="14"/>
  <c r="AV19" i="14"/>
  <c r="BB5" i="14"/>
  <c r="BC5" i="14" s="1"/>
  <c r="BD5" i="14" s="1"/>
  <c r="AU4" i="14"/>
  <c r="AT4" i="14" s="1"/>
  <c r="AW4" i="14" s="1"/>
  <c r="AX4" i="14" s="1"/>
  <c r="BB4" i="14"/>
  <c r="BC4" i="14" s="1"/>
  <c r="BD4" i="14" s="1"/>
  <c r="AO5" i="14"/>
  <c r="AC9" i="14"/>
  <c r="AV9" i="14" s="1"/>
  <c r="AG12" i="14"/>
  <c r="AO12" i="14" s="1"/>
  <c r="AU12" i="14"/>
  <c r="AT12" i="14" s="1"/>
  <c r="BD14" i="14"/>
  <c r="AU17" i="14"/>
  <c r="AT17" i="14" s="1"/>
  <c r="AW17" i="14" s="1"/>
  <c r="AX17" i="14" s="1"/>
  <c r="AG17" i="14"/>
  <c r="AO17" i="14" s="1"/>
  <c r="BB17" i="14"/>
  <c r="BC17" i="14" s="1"/>
  <c r="BD17" i="14" s="1"/>
  <c r="AC17" i="14"/>
  <c r="BB18" i="14"/>
  <c r="BC18" i="14" s="1"/>
  <c r="BD18" i="14" s="1"/>
  <c r="BB9" i="14"/>
  <c r="AG2" i="14"/>
  <c r="BB16" i="14"/>
  <c r="AU9" i="14"/>
  <c r="AT9" i="14" s="1"/>
  <c r="AT13" i="14"/>
  <c r="AW13" i="14" s="1"/>
  <c r="AX13" i="14" s="1"/>
  <c r="AN2" i="14"/>
  <c r="BB6" i="14"/>
  <c r="AU16" i="14"/>
  <c r="AT16" i="14" s="1"/>
  <c r="AU19" i="14"/>
  <c r="AT19" i="14" s="1"/>
  <c r="AG19" i="14"/>
  <c r="AO19" i="14" s="1"/>
  <c r="Z9" i="15"/>
  <c r="Y9" i="15"/>
  <c r="AD9" i="15" s="1"/>
  <c r="Z17" i="15"/>
  <c r="AZ17" i="15" s="1"/>
  <c r="Y17" i="15"/>
  <c r="AD17" i="15" s="1"/>
  <c r="AS10" i="15"/>
  <c r="AR10" i="15" s="1"/>
  <c r="AU10" i="15" s="1"/>
  <c r="AV10" i="15" s="1"/>
  <c r="AE10" i="15"/>
  <c r="AM10" i="15" s="1"/>
  <c r="AT10" i="15"/>
  <c r="Z83" i="15"/>
  <c r="AS83" i="15" s="1"/>
  <c r="AR83" i="15" s="1"/>
  <c r="AU83" i="15" s="1"/>
  <c r="AV83" i="15" s="1"/>
  <c r="Y83" i="15"/>
  <c r="AD83" i="15" s="1"/>
  <c r="Y12" i="15"/>
  <c r="AD12" i="15" s="1"/>
  <c r="Z12" i="15"/>
  <c r="AS12" i="15" s="1"/>
  <c r="AR12" i="15" s="1"/>
  <c r="AU12" i="15" s="1"/>
  <c r="AV12" i="15" s="1"/>
  <c r="Y7" i="15"/>
  <c r="AD7" i="15" s="1"/>
  <c r="Z7" i="15"/>
  <c r="AT7" i="15" s="1"/>
  <c r="Z58" i="15"/>
  <c r="AE58" i="15" s="1"/>
  <c r="AM58" i="15" s="1"/>
  <c r="Y58" i="15"/>
  <c r="AD58" i="15" s="1"/>
  <c r="AE66" i="15"/>
  <c r="AM66" i="15" s="1"/>
  <c r="AZ97" i="15"/>
  <c r="BA97" i="15" s="1"/>
  <c r="BB97" i="15" s="1"/>
  <c r="Y66" i="15"/>
  <c r="AA66" i="15" s="1"/>
  <c r="AZ66" i="15"/>
  <c r="BA66" i="15" s="1"/>
  <c r="BB66" i="15" s="1"/>
  <c r="AZ105" i="15"/>
  <c r="AS57" i="15"/>
  <c r="AR57" i="15" s="1"/>
  <c r="AU57" i="15" s="1"/>
  <c r="AV57" i="15" s="1"/>
  <c r="AM36" i="15"/>
  <c r="Y97" i="15"/>
  <c r="AV2" i="15"/>
  <c r="AA10" i="15"/>
  <c r="AD10" i="15"/>
  <c r="AE105" i="15"/>
  <c r="AM105" i="15" s="1"/>
  <c r="AS97" i="15"/>
  <c r="AR97" i="15" s="1"/>
  <c r="AU97" i="15" s="1"/>
  <c r="AV97" i="15" s="1"/>
  <c r="Y67" i="15"/>
  <c r="AD67" i="15" s="1"/>
  <c r="AT105" i="15"/>
  <c r="AS93" i="15"/>
  <c r="AR93" i="15" s="1"/>
  <c r="AU93" i="15" s="1"/>
  <c r="AV93" i="15" s="1"/>
  <c r="Z114" i="15"/>
  <c r="AE114" i="15" s="1"/>
  <c r="AM114" i="15" s="1"/>
  <c r="AE93" i="15"/>
  <c r="AM93" i="15" s="1"/>
  <c r="Y93" i="15"/>
  <c r="AD93" i="15" s="1"/>
  <c r="AE97" i="15"/>
  <c r="AM97" i="15" s="1"/>
  <c r="Y105" i="15"/>
  <c r="AD105" i="15" s="1"/>
  <c r="AS92" i="15"/>
  <c r="AR92" i="15" s="1"/>
  <c r="AU92" i="15" s="1"/>
  <c r="AV92" i="15" s="1"/>
  <c r="AZ92" i="15"/>
  <c r="AE92" i="15"/>
  <c r="AM92" i="15" s="1"/>
  <c r="Z78" i="15"/>
  <c r="AS78" i="15" s="1"/>
  <c r="AR78" i="15" s="1"/>
  <c r="AU78" i="15" s="1"/>
  <c r="AV78" i="15" s="1"/>
  <c r="Y78" i="15"/>
  <c r="AD78" i="15" s="1"/>
  <c r="Y74" i="15"/>
  <c r="AD74" i="15" s="1"/>
  <c r="Z74" i="15"/>
  <c r="AS74" i="15" s="1"/>
  <c r="AR74" i="15" s="1"/>
  <c r="AU74" i="15" s="1"/>
  <c r="AV74" i="15" s="1"/>
  <c r="Y88" i="15"/>
  <c r="AD88" i="15" s="1"/>
  <c r="AT104" i="15"/>
  <c r="Y102" i="15"/>
  <c r="AD102" i="15" s="1"/>
  <c r="Y87" i="15"/>
  <c r="AD87" i="15" s="1"/>
  <c r="Z87" i="15"/>
  <c r="AE87" i="15" s="1"/>
  <c r="AM87" i="15" s="1"/>
  <c r="Z96" i="15"/>
  <c r="AZ96" i="15" s="1"/>
  <c r="Y96" i="15"/>
  <c r="AD96" i="15" s="1"/>
  <c r="Z100" i="15"/>
  <c r="AE100" i="15" s="1"/>
  <c r="AM100" i="15" s="1"/>
  <c r="Y100" i="15"/>
  <c r="AD100" i="15" s="1"/>
  <c r="Z109" i="15"/>
  <c r="Y109" i="15"/>
  <c r="AD109" i="15" s="1"/>
  <c r="Y55" i="15"/>
  <c r="AD55" i="15" s="1"/>
  <c r="Z55" i="15"/>
  <c r="Z115" i="15"/>
  <c r="Y115" i="15"/>
  <c r="AD115" i="15" s="1"/>
  <c r="Y79" i="15"/>
  <c r="AD79" i="15" s="1"/>
  <c r="Z79" i="15"/>
  <c r="AZ79" i="15" s="1"/>
  <c r="Z70" i="15"/>
  <c r="AZ70" i="15" s="1"/>
  <c r="Y70" i="15"/>
  <c r="Y53" i="15"/>
  <c r="AD53" i="15" s="1"/>
  <c r="Z53" i="15"/>
  <c r="Z75" i="15"/>
  <c r="AE75" i="15" s="1"/>
  <c r="AM75" i="15" s="1"/>
  <c r="Y75" i="15"/>
  <c r="AD75" i="15" s="1"/>
  <c r="AZ113" i="15"/>
  <c r="AE113" i="15"/>
  <c r="AM113" i="15" s="1"/>
  <c r="AT113" i="15"/>
  <c r="AT67" i="15"/>
  <c r="AZ67" i="15"/>
  <c r="AS67" i="15"/>
  <c r="AR67" i="15" s="1"/>
  <c r="AU67" i="15" s="1"/>
  <c r="AV67" i="15" s="1"/>
  <c r="Y29" i="15"/>
  <c r="AD29" i="15" s="1"/>
  <c r="Z29" i="15"/>
  <c r="Z3" i="15"/>
  <c r="AE67" i="15"/>
  <c r="AM67" i="15" s="1"/>
  <c r="AZ102" i="15"/>
  <c r="BA102" i="15" s="1"/>
  <c r="BB102" i="15" s="1"/>
  <c r="Y104" i="15"/>
  <c r="AS66" i="15"/>
  <c r="AR66" i="15" s="1"/>
  <c r="AU66" i="15" s="1"/>
  <c r="AV66" i="15" s="1"/>
  <c r="AE102" i="15"/>
  <c r="AM102" i="15" s="1"/>
  <c r="Z84" i="15"/>
  <c r="Z72" i="15"/>
  <c r="AE33" i="15"/>
  <c r="AM33" i="15" s="1"/>
  <c r="AS33" i="15"/>
  <c r="AR33" i="15" s="1"/>
  <c r="AU33" i="15" s="1"/>
  <c r="AV33" i="15" s="1"/>
  <c r="AZ33" i="15"/>
  <c r="AT33" i="15"/>
  <c r="AE2" i="15"/>
  <c r="AM2" i="15" s="1"/>
  <c r="AZ2" i="15"/>
  <c r="BA2" i="15" s="1"/>
  <c r="BB2" i="15" s="1"/>
  <c r="Z68" i="15"/>
  <c r="Y68" i="15"/>
  <c r="AD68" i="15" s="1"/>
  <c r="AS102" i="15"/>
  <c r="AR102" i="15" s="1"/>
  <c r="AU102" i="15" s="1"/>
  <c r="AV102" i="15" s="1"/>
  <c r="Y113" i="15"/>
  <c r="Z4" i="15"/>
  <c r="AZ4" i="15" s="1"/>
  <c r="Y4" i="15"/>
  <c r="AD4" i="15" s="1"/>
  <c r="Z6" i="15"/>
  <c r="Y6" i="15"/>
  <c r="AD6" i="15" s="1"/>
  <c r="AT13" i="15"/>
  <c r="AS13" i="15"/>
  <c r="AR13" i="15" s="1"/>
  <c r="AU13" i="15" s="1"/>
  <c r="AV13" i="15" s="1"/>
  <c r="Y16" i="15"/>
  <c r="AD16" i="15" s="1"/>
  <c r="Z16" i="15"/>
  <c r="Z24" i="15"/>
  <c r="AE24" i="15" s="1"/>
  <c r="AM24" i="15" s="1"/>
  <c r="Y24" i="15"/>
  <c r="AD24" i="15" s="1"/>
  <c r="Z30" i="15"/>
  <c r="Y30" i="15"/>
  <c r="AD30" i="15" s="1"/>
  <c r="Z82" i="15"/>
  <c r="Y56" i="15"/>
  <c r="AD56" i="15" s="1"/>
  <c r="Z56" i="15"/>
  <c r="AZ56" i="15" s="1"/>
  <c r="AZ36" i="15"/>
  <c r="BA36" i="15" s="1"/>
  <c r="BB36" i="15" s="1"/>
  <c r="AZ80" i="15"/>
  <c r="Y73" i="15"/>
  <c r="AZ57" i="15"/>
  <c r="BA57" i="15" s="1"/>
  <c r="BB57" i="15" s="1"/>
  <c r="Y32" i="15"/>
  <c r="Y26" i="15"/>
  <c r="AZ10" i="15"/>
  <c r="AA64" i="15"/>
  <c r="Z101" i="15"/>
  <c r="AA101" i="15" s="1"/>
  <c r="Y25" i="15"/>
  <c r="AD25" i="15" s="1"/>
  <c r="AT98" i="15"/>
  <c r="AZ98" i="15"/>
  <c r="AE98" i="15"/>
  <c r="AM98" i="15" s="1"/>
  <c r="AS98" i="15"/>
  <c r="AR98" i="15" s="1"/>
  <c r="AU98" i="15" s="1"/>
  <c r="AV98" i="15" s="1"/>
  <c r="AT106" i="15"/>
  <c r="AE106" i="15"/>
  <c r="AM106" i="15" s="1"/>
  <c r="AS106" i="15"/>
  <c r="AR106" i="15" s="1"/>
  <c r="AU106" i="15" s="1"/>
  <c r="AV106" i="15" s="1"/>
  <c r="Z89" i="15"/>
  <c r="AZ89" i="15" s="1"/>
  <c r="Y89" i="15"/>
  <c r="AD89" i="15" s="1"/>
  <c r="Z71" i="15"/>
  <c r="Y71" i="15"/>
  <c r="AD71" i="15" s="1"/>
  <c r="Z8" i="15"/>
  <c r="Z15" i="15"/>
  <c r="Y106" i="15"/>
  <c r="AD106" i="15" s="1"/>
  <c r="Z61" i="15"/>
  <c r="Y61" i="15"/>
  <c r="AD61" i="15" s="1"/>
  <c r="Y62" i="15"/>
  <c r="AD62" i="15" s="1"/>
  <c r="Z62" i="15"/>
  <c r="AZ106" i="15"/>
  <c r="Z112" i="15"/>
  <c r="Y112" i="15"/>
  <c r="AD112" i="15" s="1"/>
  <c r="AE88" i="15"/>
  <c r="AM88" i="15" s="1"/>
  <c r="AS88" i="15"/>
  <c r="AR88" i="15" s="1"/>
  <c r="AU88" i="15" s="1"/>
  <c r="AV88" i="15" s="1"/>
  <c r="L5" i="15"/>
  <c r="L119" i="15" s="1"/>
  <c r="N116" i="15"/>
  <c r="AS80" i="15"/>
  <c r="AR80" i="15" s="1"/>
  <c r="AU80" i="15" s="1"/>
  <c r="AV80" i="15" s="1"/>
  <c r="AE80" i="15"/>
  <c r="AM80" i="15" s="1"/>
  <c r="AT80" i="15"/>
  <c r="Z45" i="15"/>
  <c r="Y45" i="15"/>
  <c r="AD45" i="15" s="1"/>
  <c r="Y46" i="15"/>
  <c r="AD46" i="15" s="1"/>
  <c r="Z46" i="15"/>
  <c r="Y54" i="15"/>
  <c r="AD54" i="15" s="1"/>
  <c r="Z54" i="15"/>
  <c r="Z37" i="15"/>
  <c r="Y37" i="15"/>
  <c r="AD37" i="15" s="1"/>
  <c r="AZ25" i="15"/>
  <c r="AE25" i="15"/>
  <c r="AM25" i="15" s="1"/>
  <c r="AS25" i="15"/>
  <c r="AR25" i="15" s="1"/>
  <c r="AU25" i="15" s="1"/>
  <c r="AV25" i="15" s="1"/>
  <c r="AT25" i="15"/>
  <c r="AZ47" i="15"/>
  <c r="BA47" i="15" s="1"/>
  <c r="BB47" i="15" s="1"/>
  <c r="Z110" i="15"/>
  <c r="Y110" i="15"/>
  <c r="AD110" i="15" s="1"/>
  <c r="AZ108" i="15"/>
  <c r="AT108" i="15"/>
  <c r="AS108" i="15"/>
  <c r="AR108" i="15" s="1"/>
  <c r="AU108" i="15" s="1"/>
  <c r="AV108" i="15" s="1"/>
  <c r="AE108" i="15"/>
  <c r="AM108" i="15" s="1"/>
  <c r="Z65" i="15"/>
  <c r="Y65" i="15"/>
  <c r="AD65" i="15" s="1"/>
  <c r="AZ60" i="15"/>
  <c r="Y51" i="15"/>
  <c r="AD51" i="15" s="1"/>
  <c r="Z51" i="15"/>
  <c r="Y44" i="15"/>
  <c r="AD44" i="15" s="1"/>
  <c r="Z44" i="15"/>
  <c r="Z40" i="15"/>
  <c r="Y40" i="15"/>
  <c r="AD40" i="15" s="1"/>
  <c r="Y11" i="15"/>
  <c r="AD11" i="15" s="1"/>
  <c r="Z11" i="15"/>
  <c r="AZ13" i="15"/>
  <c r="AM13" i="15"/>
  <c r="Y23" i="15"/>
  <c r="Z94" i="15"/>
  <c r="Y94" i="15"/>
  <c r="AD94" i="15" s="1"/>
  <c r="Z85" i="15"/>
  <c r="Y85" i="15"/>
  <c r="AD85" i="15" s="1"/>
  <c r="Z38" i="15"/>
  <c r="Y38" i="15"/>
  <c r="AD38" i="15" s="1"/>
  <c r="Z107" i="15"/>
  <c r="Y107" i="15"/>
  <c r="AD107" i="15" s="1"/>
  <c r="Z103" i="15"/>
  <c r="Y103" i="15"/>
  <c r="AD103" i="15" s="1"/>
  <c r="Z43" i="15"/>
  <c r="Y43" i="15"/>
  <c r="AD43" i="15" s="1"/>
  <c r="AZ88" i="15"/>
  <c r="AT60" i="15"/>
  <c r="AE60" i="15"/>
  <c r="AM60" i="15" s="1"/>
  <c r="AS60" i="15"/>
  <c r="AR60" i="15" s="1"/>
  <c r="AU60" i="15" s="1"/>
  <c r="AV60" i="15" s="1"/>
  <c r="Y41" i="15"/>
  <c r="AD41" i="15" s="1"/>
  <c r="Z41" i="15"/>
  <c r="Y34" i="15"/>
  <c r="AD34" i="15" s="1"/>
  <c r="Z34" i="15"/>
  <c r="Z81" i="15"/>
  <c r="Y81" i="15"/>
  <c r="AD81" i="15" s="1"/>
  <c r="Y52" i="15"/>
  <c r="AD52" i="15" s="1"/>
  <c r="Z52" i="15"/>
  <c r="AM31" i="15"/>
  <c r="AS27" i="15"/>
  <c r="AR27" i="15" s="1"/>
  <c r="AU27" i="15" s="1"/>
  <c r="AV27" i="15" s="1"/>
  <c r="AZ27" i="15"/>
  <c r="Y20" i="15"/>
  <c r="AD20" i="15" s="1"/>
  <c r="Z20" i="15"/>
  <c r="AZ20" i="15" s="1"/>
  <c r="Z77" i="15"/>
  <c r="AZ77" i="15" s="1"/>
  <c r="Y77" i="15"/>
  <c r="AD77" i="15" s="1"/>
  <c r="Y48" i="15"/>
  <c r="AD48" i="15" s="1"/>
  <c r="Z48" i="15"/>
  <c r="E9" i="18"/>
  <c r="D9" i="18"/>
  <c r="F9" i="18"/>
  <c r="K22" i="3"/>
  <c r="W9" i="3"/>
  <c r="W2" i="3"/>
  <c r="H12" i="3"/>
  <c r="O12" i="3"/>
  <c r="W17" i="3"/>
  <c r="Q11" i="3"/>
  <c r="W5" i="3"/>
  <c r="Q15" i="3"/>
  <c r="W25" i="3"/>
  <c r="W7" i="3"/>
  <c r="Q9" i="3"/>
  <c r="O22" i="3"/>
  <c r="AU12" i="12"/>
  <c r="AT12" i="12" s="1"/>
  <c r="AW12" i="12" s="1"/>
  <c r="AX12" i="12" s="1"/>
  <c r="U10" i="16"/>
  <c r="Z10" i="16" s="1"/>
  <c r="V10" i="16"/>
  <c r="U5" i="16"/>
  <c r="Z5" i="16" s="1"/>
  <c r="V5" i="16"/>
  <c r="U8" i="16"/>
  <c r="Z8" i="16" s="1"/>
  <c r="V8" i="16"/>
  <c r="U6" i="16"/>
  <c r="Z6" i="16" s="1"/>
  <c r="V6" i="16"/>
  <c r="J2" i="16"/>
  <c r="V3" i="16"/>
  <c r="V7" i="16"/>
  <c r="U7" i="16"/>
  <c r="Z7" i="16" s="1"/>
  <c r="AT12" i="16"/>
  <c r="AM12" i="16"/>
  <c r="AL12" i="16" s="1"/>
  <c r="AA12" i="16"/>
  <c r="AI12" i="16" s="1"/>
  <c r="W12" i="16"/>
  <c r="AN12" i="16"/>
  <c r="AA14" i="16"/>
  <c r="AI14" i="16" s="1"/>
  <c r="W14" i="16"/>
  <c r="AM14" i="16"/>
  <c r="AL14" i="16" s="1"/>
  <c r="AT14" i="16"/>
  <c r="M11" i="16"/>
  <c r="P9" i="18"/>
  <c r="R9" i="18"/>
  <c r="G9" i="18"/>
  <c r="AY4" i="8"/>
  <c r="AB4" i="8"/>
  <c r="AA15" i="8"/>
  <c r="AB3" i="8"/>
  <c r="AS3" i="8"/>
  <c r="AT3" i="8" s="1"/>
  <c r="AU3" i="8" s="1"/>
  <c r="AF3" i="8"/>
  <c r="AN3" i="8" s="1"/>
  <c r="AY3" i="8"/>
  <c r="Z16" i="8"/>
  <c r="AE16" i="8" s="1"/>
  <c r="AA16" i="8"/>
  <c r="Z10" i="8"/>
  <c r="AE10" i="8" s="1"/>
  <c r="AA10" i="8"/>
  <c r="AS9" i="8"/>
  <c r="AB9" i="8"/>
  <c r="AF9" i="8"/>
  <c r="AN9" i="8" s="1"/>
  <c r="AY9" i="8"/>
  <c r="AQ9" i="8"/>
  <c r="AT9" i="8" s="1"/>
  <c r="AU9" i="8" s="1"/>
  <c r="AQ4" i="8"/>
  <c r="AY12" i="8"/>
  <c r="AZ12" i="8" s="1"/>
  <c r="BA12" i="8" s="1"/>
  <c r="AB12" i="8"/>
  <c r="K11" i="8"/>
  <c r="AA11" i="8"/>
  <c r="AF8" i="8"/>
  <c r="AN8" i="8" s="1"/>
  <c r="AS8" i="8"/>
  <c r="AQ8" i="8"/>
  <c r="AY8" i="8"/>
  <c r="AF5" i="8"/>
  <c r="AN5" i="8" s="1"/>
  <c r="AY5" i="8"/>
  <c r="AB5" i="8"/>
  <c r="AS5" i="8"/>
  <c r="AA2" i="8"/>
  <c r="Q9" i="18"/>
  <c r="B9" i="18"/>
  <c r="L4" i="12"/>
  <c r="AB4" i="12" s="1"/>
  <c r="AU4" i="12" s="1"/>
  <c r="AT4" i="12" s="1"/>
  <c r="AW4" i="12" s="1"/>
  <c r="AX4" i="12" s="1"/>
  <c r="AF3" i="12"/>
  <c r="L5" i="12"/>
  <c r="AB5" i="12" s="1"/>
  <c r="AG5" i="12" s="1"/>
  <c r="AO5" i="12" s="1"/>
  <c r="AF12" i="12"/>
  <c r="AB3" i="12"/>
  <c r="AA9" i="12"/>
  <c r="AF9" i="12" s="1"/>
  <c r="AB9" i="12"/>
  <c r="AG9" i="12" s="1"/>
  <c r="AO9" i="12" s="1"/>
  <c r="BB12" i="12"/>
  <c r="AE13" i="12"/>
  <c r="L6" i="18" s="1"/>
  <c r="BC12" i="12"/>
  <c r="BD12" i="12" s="1"/>
  <c r="AC12" i="12"/>
  <c r="BD11" i="12"/>
  <c r="BB4" i="12"/>
  <c r="BC4" i="12" s="1"/>
  <c r="BD4" i="12" s="1"/>
  <c r="AC2" i="12"/>
  <c r="AG2" i="12" s="1"/>
  <c r="AO2" i="12" s="1"/>
  <c r="AV2" i="12"/>
  <c r="AU2" i="12"/>
  <c r="AT2" i="12" s="1"/>
  <c r="BB2" i="12"/>
  <c r="J8" i="12"/>
  <c r="AA8" i="12" s="1"/>
  <c r="AB6" i="12"/>
  <c r="AU6" i="12" s="1"/>
  <c r="AT6" i="12" s="1"/>
  <c r="N13" i="12"/>
  <c r="AD13" i="12"/>
  <c r="K6" i="18" s="1"/>
  <c r="R13" i="12"/>
  <c r="AH6" i="12"/>
  <c r="AV10" i="12"/>
  <c r="AG10" i="12"/>
  <c r="AO10" i="12" s="1"/>
  <c r="AC10" i="12"/>
  <c r="AU10" i="12"/>
  <c r="AT10" i="12" s="1"/>
  <c r="BB10" i="12"/>
  <c r="BC10" i="12" s="1"/>
  <c r="BD10" i="12" s="1"/>
  <c r="M12" i="11"/>
  <c r="K2" i="9"/>
  <c r="O2" i="9"/>
  <c r="O6" i="9"/>
  <c r="P6" i="9" s="1"/>
  <c r="N13" i="9"/>
  <c r="K15" i="9"/>
  <c r="N15" i="9"/>
  <c r="N18" i="9"/>
  <c r="K20" i="9"/>
  <c r="N20" i="9"/>
  <c r="N26" i="9"/>
  <c r="L28" i="9"/>
  <c r="N28" i="9"/>
  <c r="K40" i="9"/>
  <c r="N40" i="9"/>
  <c r="N6" i="9"/>
  <c r="L15" i="9"/>
  <c r="L20" i="9"/>
  <c r="P2" i="9"/>
  <c r="H45" i="9"/>
  <c r="J4" i="9"/>
  <c r="L4" i="9" s="1"/>
  <c r="L7" i="9"/>
  <c r="L8" i="9"/>
  <c r="O8" i="9"/>
  <c r="P8" i="9" s="1"/>
  <c r="M10" i="9"/>
  <c r="N10" i="9"/>
  <c r="L10" i="9"/>
  <c r="O10" i="9"/>
  <c r="P10" i="9" s="1"/>
  <c r="M14" i="9"/>
  <c r="K14" i="9"/>
  <c r="O14" i="9"/>
  <c r="P14" i="9" s="1"/>
  <c r="L14" i="9"/>
  <c r="N14" i="9"/>
  <c r="L17" i="9"/>
  <c r="L19" i="9"/>
  <c r="M19" i="9"/>
  <c r="K19" i="9"/>
  <c r="O19" i="9"/>
  <c r="P19" i="9" s="1"/>
  <c r="K22" i="9"/>
  <c r="M22" i="9"/>
  <c r="L22" i="9"/>
  <c r="O22" i="9"/>
  <c r="P22" i="9" s="1"/>
  <c r="M24" i="9"/>
  <c r="N24" i="9"/>
  <c r="L24" i="9"/>
  <c r="O24" i="9"/>
  <c r="P24" i="9" s="1"/>
  <c r="O29" i="9"/>
  <c r="P29" i="9" s="1"/>
  <c r="M29" i="9"/>
  <c r="L29" i="9"/>
  <c r="M30" i="9"/>
  <c r="O30" i="9"/>
  <c r="P30" i="9" s="1"/>
  <c r="L30" i="9"/>
  <c r="L31" i="9"/>
  <c r="M31" i="9"/>
  <c r="K31" i="9"/>
  <c r="O31" i="9"/>
  <c r="P31" i="9" s="1"/>
  <c r="K32" i="9"/>
  <c r="M32" i="9"/>
  <c r="L32" i="9"/>
  <c r="N32" i="9"/>
  <c r="O32" i="9"/>
  <c r="P32" i="9" s="1"/>
  <c r="L34" i="9"/>
  <c r="K34" i="9"/>
  <c r="O34" i="9"/>
  <c r="P34" i="9" s="1"/>
  <c r="M34" i="9"/>
  <c r="K35" i="9"/>
  <c r="M35" i="9"/>
  <c r="O35" i="9"/>
  <c r="P35" i="9" s="1"/>
  <c r="L35" i="9"/>
  <c r="M36" i="9"/>
  <c r="K36" i="9"/>
  <c r="L36" i="9"/>
  <c r="O36" i="9"/>
  <c r="O38" i="9"/>
  <c r="P38" i="9" s="1"/>
  <c r="N41" i="9"/>
  <c r="M42" i="9"/>
  <c r="O42" i="9"/>
  <c r="P42" i="9" s="1"/>
  <c r="K42" i="9"/>
  <c r="N42" i="9"/>
  <c r="L42" i="9"/>
  <c r="K41" i="9"/>
  <c r="K38" i="9"/>
  <c r="K5" i="9"/>
  <c r="O5" i="9"/>
  <c r="P5" i="9" s="1"/>
  <c r="L9" i="9"/>
  <c r="O9" i="9"/>
  <c r="P9" i="9" s="1"/>
  <c r="M9" i="9"/>
  <c r="L12" i="9"/>
  <c r="K12" i="9"/>
  <c r="O12" i="9"/>
  <c r="P12" i="9" s="1"/>
  <c r="M12" i="9"/>
  <c r="O16" i="9"/>
  <c r="P16" i="9" s="1"/>
  <c r="K17" i="9"/>
  <c r="L21" i="9"/>
  <c r="K21" i="9"/>
  <c r="M21" i="9"/>
  <c r="O21" i="9"/>
  <c r="P21" i="9" s="1"/>
  <c r="N22" i="9"/>
  <c r="M23" i="9"/>
  <c r="O23" i="9"/>
  <c r="P23" i="9" s="1"/>
  <c r="O25" i="9"/>
  <c r="P25" i="9" s="1"/>
  <c r="M25" i="9"/>
  <c r="M27" i="9"/>
  <c r="O27" i="9"/>
  <c r="P27" i="9" s="1"/>
  <c r="K29" i="9"/>
  <c r="N30" i="9"/>
  <c r="N33" i="9"/>
  <c r="L33" i="9"/>
  <c r="N35" i="9"/>
  <c r="O39" i="9"/>
  <c r="P39" i="9" s="1"/>
  <c r="M39" i="9"/>
  <c r="M2" i="9"/>
  <c r="L2" i="9"/>
  <c r="N2" i="9"/>
  <c r="M40" i="9"/>
  <c r="L40" i="9"/>
  <c r="K26" i="9"/>
  <c r="M26" i="9"/>
  <c r="O26" i="9"/>
  <c r="P26" i="9" s="1"/>
  <c r="M20" i="9"/>
  <c r="O20" i="9"/>
  <c r="P20" i="9" s="1"/>
  <c r="K18" i="9"/>
  <c r="M18" i="9"/>
  <c r="M15" i="9"/>
  <c r="O15" i="9"/>
  <c r="P15" i="9" s="1"/>
  <c r="K13" i="9"/>
  <c r="M13" i="9"/>
  <c r="K6" i="9"/>
  <c r="M6" i="9"/>
  <c r="L26" i="9"/>
  <c r="L18" i="9"/>
  <c r="L13" i="9"/>
  <c r="L6" i="9"/>
  <c r="H46" i="9"/>
  <c r="H44" i="9"/>
  <c r="L3" i="9"/>
  <c r="K10" i="9"/>
  <c r="O13" i="9"/>
  <c r="P13" i="9" s="1"/>
  <c r="L16" i="9"/>
  <c r="O18" i="9"/>
  <c r="P18" i="9" s="1"/>
  <c r="N19" i="9"/>
  <c r="L23" i="9"/>
  <c r="K24" i="9"/>
  <c r="L25" i="9"/>
  <c r="L27" i="9"/>
  <c r="K28" i="9"/>
  <c r="O28" i="9"/>
  <c r="P28" i="9" s="1"/>
  <c r="N29" i="9"/>
  <c r="K30" i="9"/>
  <c r="N31" i="9"/>
  <c r="N34" i="9"/>
  <c r="N36" i="9"/>
  <c r="K37" i="9"/>
  <c r="M37" i="9"/>
  <c r="O37" i="9"/>
  <c r="P37" i="9" s="1"/>
  <c r="L39" i="9"/>
  <c r="O40" i="9"/>
  <c r="P40" i="9" s="1"/>
  <c r="H43" i="9"/>
  <c r="L37" i="9"/>
  <c r="P36" i="9"/>
  <c r="I44" i="9"/>
  <c r="Q9" i="11"/>
  <c r="R11" i="11"/>
  <c r="E11" i="11"/>
  <c r="Q11" i="11" s="1"/>
  <c r="Q4" i="11"/>
  <c r="M4" i="11"/>
  <c r="D2" i="11"/>
  <c r="D38" i="11" s="1"/>
  <c r="M22" i="11"/>
  <c r="M5" i="11"/>
  <c r="Q21" i="11"/>
  <c r="M21" i="11"/>
  <c r="M13" i="11"/>
  <c r="B18" i="29" l="1"/>
  <c r="V5" i="29"/>
  <c r="V8" i="29" s="1"/>
  <c r="AA53" i="15"/>
  <c r="X8" i="3"/>
  <c r="Y8" i="3" s="1"/>
  <c r="X6" i="3"/>
  <c r="Y6" i="3" s="1"/>
  <c r="X14" i="3"/>
  <c r="Y14" i="3" s="1"/>
  <c r="AB5" i="3"/>
  <c r="X5" i="3"/>
  <c r="Y5" i="3" s="1"/>
  <c r="M12" i="3"/>
  <c r="AC12" i="3" s="1"/>
  <c r="AB2" i="3"/>
  <c r="X2" i="3"/>
  <c r="AB17" i="3"/>
  <c r="X17" i="3"/>
  <c r="Y17" i="3" s="1"/>
  <c r="AB9" i="3"/>
  <c r="X9" i="3"/>
  <c r="Y9" i="3" s="1"/>
  <c r="X10" i="3"/>
  <c r="Y10" i="3" s="1"/>
  <c r="X16" i="3"/>
  <c r="Y16" i="3" s="1"/>
  <c r="X19" i="3"/>
  <c r="Y19" i="3" s="1"/>
  <c r="X11" i="3"/>
  <c r="Y11" i="3" s="1"/>
  <c r="AB7" i="3"/>
  <c r="X7" i="3"/>
  <c r="Y7" i="3" s="1"/>
  <c r="AB4" i="3"/>
  <c r="X4" i="3"/>
  <c r="Y4" i="3" s="1"/>
  <c r="AC2" i="3"/>
  <c r="M22" i="3"/>
  <c r="AC22" i="3" s="1"/>
  <c r="AB3" i="3"/>
  <c r="X3" i="3"/>
  <c r="Y3" i="3" s="1"/>
  <c r="AB13" i="3"/>
  <c r="X13" i="3"/>
  <c r="Y13" i="3" s="1"/>
  <c r="AB15" i="3"/>
  <c r="X15" i="3"/>
  <c r="Y15" i="3" s="1"/>
  <c r="AZ100" i="15"/>
  <c r="BA63" i="15"/>
  <c r="BB63" i="15" s="1"/>
  <c r="AA105" i="15"/>
  <c r="AD31" i="15"/>
  <c r="BA111" i="15"/>
  <c r="BB111" i="15" s="1"/>
  <c r="BA104" i="15"/>
  <c r="BB104" i="15" s="1"/>
  <c r="AA90" i="15"/>
  <c r="AT90" i="15" s="1"/>
  <c r="BA90" i="15" s="1"/>
  <c r="BB90" i="15" s="1"/>
  <c r="AE50" i="15"/>
  <c r="AM50" i="15" s="1"/>
  <c r="AS50" i="15"/>
  <c r="AR50" i="15" s="1"/>
  <c r="AU50" i="15" s="1"/>
  <c r="AV50" i="15" s="1"/>
  <c r="AE53" i="15"/>
  <c r="AM53" i="15" s="1"/>
  <c r="AA108" i="15"/>
  <c r="AA47" i="15"/>
  <c r="AA92" i="15"/>
  <c r="AT92" i="15" s="1"/>
  <c r="BA92" i="15" s="1"/>
  <c r="BB92" i="15" s="1"/>
  <c r="AA80" i="15"/>
  <c r="AA21" i="15"/>
  <c r="AD63" i="15"/>
  <c r="AA33" i="15"/>
  <c r="AS21" i="15"/>
  <c r="AR21" i="15" s="1"/>
  <c r="AU21" i="15" s="1"/>
  <c r="AV21" i="15" s="1"/>
  <c r="AE21" i="15"/>
  <c r="AM21" i="15" s="1"/>
  <c r="AZ83" i="15"/>
  <c r="AA39" i="15"/>
  <c r="BA73" i="15"/>
  <c r="BB73" i="15" s="1"/>
  <c r="K13" i="12"/>
  <c r="I6" i="18" s="1"/>
  <c r="AV6" i="12"/>
  <c r="AW6" i="12" s="1"/>
  <c r="AC11" i="12"/>
  <c r="AU2" i="14"/>
  <c r="AT2" i="14" s="1"/>
  <c r="AW2" i="14" s="1"/>
  <c r="BC12" i="14"/>
  <c r="BD12" i="14" s="1"/>
  <c r="K20" i="14"/>
  <c r="BB3" i="14"/>
  <c r="AB21" i="14"/>
  <c r="AG21" i="14" s="1"/>
  <c r="AO21" i="14" s="1"/>
  <c r="K21" i="14"/>
  <c r="AU22" i="14"/>
  <c r="AT22" i="14" s="1"/>
  <c r="AW22" i="14" s="1"/>
  <c r="AX22" i="14" s="1"/>
  <c r="BB22" i="14"/>
  <c r="BC22" i="14" s="1"/>
  <c r="BD22" i="14" s="1"/>
  <c r="AG22" i="14"/>
  <c r="AO22" i="14" s="1"/>
  <c r="BA7" i="13"/>
  <c r="BB7" i="13" s="1"/>
  <c r="AU6" i="13"/>
  <c r="AV6" i="13" s="1"/>
  <c r="AV2" i="13"/>
  <c r="AS6" i="8"/>
  <c r="AT8" i="8"/>
  <c r="AU8" i="8" s="1"/>
  <c r="AS4" i="8"/>
  <c r="AZ4" i="8" s="1"/>
  <c r="BA4" i="8" s="1"/>
  <c r="AY7" i="8"/>
  <c r="AZ7" i="8" s="1"/>
  <c r="BA7" i="8" s="1"/>
  <c r="AF14" i="8"/>
  <c r="AN14" i="8" s="1"/>
  <c r="AT5" i="8"/>
  <c r="AU5" i="8" s="1"/>
  <c r="AB13" i="8"/>
  <c r="AZ3" i="8"/>
  <c r="BA3" i="8" s="1"/>
  <c r="AY6" i="8"/>
  <c r="AZ6" i="8" s="1"/>
  <c r="BA6" i="8" s="1"/>
  <c r="AB6" i="8"/>
  <c r="AB7" i="8"/>
  <c r="AT6" i="8"/>
  <c r="AU6" i="8" s="1"/>
  <c r="L17" i="8"/>
  <c r="J2" i="18" s="1"/>
  <c r="AR13" i="8"/>
  <c r="AQ13" i="8" s="1"/>
  <c r="AT13" i="8" s="1"/>
  <c r="AU13" i="8" s="1"/>
  <c r="AQ14" i="8"/>
  <c r="AT14" i="8" s="1"/>
  <c r="AU14" i="8" s="1"/>
  <c r="AY14" i="8"/>
  <c r="AZ14" i="8" s="1"/>
  <c r="BA14" i="8" s="1"/>
  <c r="L19" i="8"/>
  <c r="AY13" i="8"/>
  <c r="AZ13" i="8" s="1"/>
  <c r="BA13" i="8" s="1"/>
  <c r="AB14" i="8"/>
  <c r="O9" i="18"/>
  <c r="M17" i="8"/>
  <c r="AQ7" i="8"/>
  <c r="AT7" i="8" s="1"/>
  <c r="AU7" i="8" s="1"/>
  <c r="AF6" i="8"/>
  <c r="AN6" i="8" s="1"/>
  <c r="AZ9" i="8"/>
  <c r="BA9" i="8" s="1"/>
  <c r="AZ8" i="8"/>
  <c r="BA8" i="8" s="1"/>
  <c r="J44" i="9"/>
  <c r="K4" i="9"/>
  <c r="J43" i="9"/>
  <c r="R38" i="11"/>
  <c r="C8" i="29"/>
  <c r="W5" i="29" s="1"/>
  <c r="AF13" i="12"/>
  <c r="M6" i="18" s="1"/>
  <c r="BB9" i="12"/>
  <c r="AU9" i="12"/>
  <c r="AT9" i="12" s="1"/>
  <c r="AC3" i="12"/>
  <c r="AU3" i="12" s="1"/>
  <c r="AT3" i="12" s="1"/>
  <c r="AV3" i="12"/>
  <c r="E19" i="22"/>
  <c r="L2" i="22"/>
  <c r="J15" i="22"/>
  <c r="L15" i="22"/>
  <c r="J4" i="22"/>
  <c r="L4" i="22"/>
  <c r="AC9" i="12"/>
  <c r="AV9" i="12" s="1"/>
  <c r="AG12" i="12"/>
  <c r="AO12" i="12" s="1"/>
  <c r="AU5" i="12"/>
  <c r="AT5" i="12" s="1"/>
  <c r="BC2" i="12"/>
  <c r="BD2" i="12" s="1"/>
  <c r="AA21" i="14"/>
  <c r="AF21" i="14" s="1"/>
  <c r="AV3" i="14"/>
  <c r="AB20" i="14"/>
  <c r="AG20" i="14" s="1"/>
  <c r="AO20" i="14" s="1"/>
  <c r="AW12" i="14"/>
  <c r="AX12" i="14" s="1"/>
  <c r="BC23" i="14"/>
  <c r="BD23" i="14" s="1"/>
  <c r="AA36" i="15"/>
  <c r="AZ78" i="15"/>
  <c r="AS58" i="15"/>
  <c r="AR58" i="15" s="1"/>
  <c r="AU58" i="15" s="1"/>
  <c r="AV58" i="15" s="1"/>
  <c r="AA13" i="15"/>
  <c r="BA27" i="15"/>
  <c r="BB27" i="15" s="1"/>
  <c r="AS101" i="15"/>
  <c r="AR101" i="15" s="1"/>
  <c r="AU101" i="15" s="1"/>
  <c r="AV101" i="15" s="1"/>
  <c r="AD111" i="15"/>
  <c r="AS75" i="15"/>
  <c r="AR75" i="15" s="1"/>
  <c r="AU75" i="15" s="1"/>
  <c r="AV75" i="15" s="1"/>
  <c r="BA106" i="15"/>
  <c r="BB106" i="15" s="1"/>
  <c r="AA86" i="15"/>
  <c r="AN4" i="16"/>
  <c r="AO4" i="16" s="1"/>
  <c r="AP4" i="16" s="1"/>
  <c r="W4" i="16"/>
  <c r="AA4" i="16"/>
  <c r="AI4" i="16" s="1"/>
  <c r="AA106" i="15"/>
  <c r="AA60" i="15"/>
  <c r="AA79" i="15"/>
  <c r="BA80" i="15"/>
  <c r="BB80" i="15" s="1"/>
  <c r="AA100" i="15"/>
  <c r="AZ87" i="15"/>
  <c r="AZ7" i="15"/>
  <c r="BA7" i="15" s="1"/>
  <c r="BB7" i="15" s="1"/>
  <c r="AS17" i="15"/>
  <c r="AR17" i="15" s="1"/>
  <c r="AU17" i="15" s="1"/>
  <c r="AV17" i="15" s="1"/>
  <c r="AA27" i="15"/>
  <c r="AA91" i="15"/>
  <c r="AT91" i="15" s="1"/>
  <c r="BA91" i="15" s="1"/>
  <c r="BB91" i="15" s="1"/>
  <c r="AA87" i="15"/>
  <c r="AA83" i="15"/>
  <c r="AE7" i="15"/>
  <c r="AM7" i="15" s="1"/>
  <c r="BA105" i="15"/>
  <c r="BB105" i="15" s="1"/>
  <c r="AA99" i="15"/>
  <c r="AA50" i="15"/>
  <c r="AT4" i="16"/>
  <c r="W9" i="16"/>
  <c r="AM15" i="16"/>
  <c r="AL15" i="16" s="1"/>
  <c r="AO15" i="16" s="1"/>
  <c r="AP15" i="16" s="1"/>
  <c r="AA15" i="16"/>
  <c r="AI15" i="16" s="1"/>
  <c r="W15" i="16"/>
  <c r="AT76" i="15"/>
  <c r="AZ76" i="15"/>
  <c r="AE76" i="15"/>
  <c r="AM76" i="15" s="1"/>
  <c r="AS76" i="15"/>
  <c r="AR76" i="15" s="1"/>
  <c r="AU76" i="15" s="1"/>
  <c r="AV76" i="15" s="1"/>
  <c r="AS79" i="15"/>
  <c r="AR79" i="15" s="1"/>
  <c r="AU79" i="15" s="1"/>
  <c r="AV79" i="15" s="1"/>
  <c r="AT12" i="15"/>
  <c r="AS87" i="15"/>
  <c r="AR87" i="15" s="1"/>
  <c r="AU87" i="15" s="1"/>
  <c r="AV87" i="15" s="1"/>
  <c r="AD66" i="15"/>
  <c r="AA67" i="15"/>
  <c r="AT87" i="15"/>
  <c r="AS7" i="15"/>
  <c r="AR7" i="15" s="1"/>
  <c r="AU7" i="15" s="1"/>
  <c r="AV7" i="15" s="1"/>
  <c r="BA10" i="15"/>
  <c r="BB10" i="15" s="1"/>
  <c r="U13" i="16"/>
  <c r="Z13" i="16" s="1"/>
  <c r="Z16" i="16" s="1"/>
  <c r="M5" i="18" s="1"/>
  <c r="V13" i="16"/>
  <c r="Z95" i="15"/>
  <c r="Y95" i="15"/>
  <c r="AD95" i="15" s="1"/>
  <c r="AS99" i="15"/>
  <c r="AR99" i="15" s="1"/>
  <c r="AU99" i="15" s="1"/>
  <c r="AV99" i="15" s="1"/>
  <c r="AZ99" i="15"/>
  <c r="AT99" i="15"/>
  <c r="AE99" i="15"/>
  <c r="AM99" i="15" s="1"/>
  <c r="AZ53" i="15"/>
  <c r="AE79" i="15"/>
  <c r="AM79" i="15" s="1"/>
  <c r="AT79" i="15"/>
  <c r="BA79" i="15" s="1"/>
  <c r="BB79" i="15" s="1"/>
  <c r="AE12" i="15"/>
  <c r="AM12" i="15" s="1"/>
  <c r="AZ74" i="15"/>
  <c r="AA57" i="15"/>
  <c r="AT15" i="16"/>
  <c r="AU15" i="16" s="1"/>
  <c r="AV15" i="16" s="1"/>
  <c r="AA25" i="15"/>
  <c r="AA7" i="15"/>
  <c r="AZ12" i="15"/>
  <c r="BA12" i="15" s="1"/>
  <c r="BB12" i="15" s="1"/>
  <c r="AA98" i="15"/>
  <c r="AA76" i="15"/>
  <c r="BA113" i="15"/>
  <c r="BB113" i="15" s="1"/>
  <c r="AZ114" i="15"/>
  <c r="AD99" i="15"/>
  <c r="AA17" i="15"/>
  <c r="AS59" i="15"/>
  <c r="AR59" i="15" s="1"/>
  <c r="AU59" i="15" s="1"/>
  <c r="AV59" i="15" s="1"/>
  <c r="AE59" i="15"/>
  <c r="AM59" i="15" s="1"/>
  <c r="AA59" i="15"/>
  <c r="AS91" i="15"/>
  <c r="AR91" i="15" s="1"/>
  <c r="AU91" i="15" s="1"/>
  <c r="AV91" i="15" s="1"/>
  <c r="AE91" i="15"/>
  <c r="AM91" i="15" s="1"/>
  <c r="AW19" i="14"/>
  <c r="AX19" i="14" s="1"/>
  <c r="AC3" i="14"/>
  <c r="BB7" i="14"/>
  <c r="BC7" i="14" s="1"/>
  <c r="BD7" i="14" s="1"/>
  <c r="L24" i="14"/>
  <c r="J4" i="18" s="1"/>
  <c r="AC7" i="14"/>
  <c r="AW16" i="14"/>
  <c r="AX16" i="14" s="1"/>
  <c r="BC16" i="14"/>
  <c r="BD16" i="14" s="1"/>
  <c r="BC19" i="14"/>
  <c r="BD19" i="14" s="1"/>
  <c r="K9" i="18"/>
  <c r="BC9" i="14"/>
  <c r="BD9" i="14" s="1"/>
  <c r="AW23" i="14"/>
  <c r="AX23" i="14" s="1"/>
  <c r="N24" i="14"/>
  <c r="AC8" i="14"/>
  <c r="AV8" i="14" s="1"/>
  <c r="BB8" i="14"/>
  <c r="AU8" i="14"/>
  <c r="AT8" i="14" s="1"/>
  <c r="AC4" i="14"/>
  <c r="L9" i="18"/>
  <c r="AU3" i="14"/>
  <c r="AT3" i="14" s="1"/>
  <c r="AW3" i="14" s="1"/>
  <c r="AX3" i="14" s="1"/>
  <c r="AG3" i="14"/>
  <c r="AO3" i="14" s="1"/>
  <c r="AF22" i="14"/>
  <c r="AC22" i="14"/>
  <c r="BC6" i="14"/>
  <c r="BD6" i="14" s="1"/>
  <c r="BC3" i="14"/>
  <c r="BD3" i="14" s="1"/>
  <c r="AW6" i="14"/>
  <c r="AX6" i="14" s="1"/>
  <c r="AC2" i="14"/>
  <c r="AO2" i="14"/>
  <c r="BB2" i="14"/>
  <c r="BC2" i="14" s="1"/>
  <c r="AW9" i="14"/>
  <c r="AX9" i="14" s="1"/>
  <c r="AA58" i="15"/>
  <c r="AT58" i="15"/>
  <c r="AA115" i="15"/>
  <c r="AD97" i="15"/>
  <c r="AA97" i="15"/>
  <c r="AT83" i="15"/>
  <c r="AE83" i="15"/>
  <c r="AM83" i="15" s="1"/>
  <c r="AT114" i="15"/>
  <c r="AA114" i="15"/>
  <c r="AS24" i="15"/>
  <c r="AR24" i="15" s="1"/>
  <c r="AU24" i="15" s="1"/>
  <c r="AV24" i="15" s="1"/>
  <c r="AZ58" i="15"/>
  <c r="AA93" i="15"/>
  <c r="AT93" i="15" s="1"/>
  <c r="BA93" i="15" s="1"/>
  <c r="BB93" i="15" s="1"/>
  <c r="AA75" i="15"/>
  <c r="AA70" i="15"/>
  <c r="AT17" i="15"/>
  <c r="BA17" i="15" s="1"/>
  <c r="BB17" i="15" s="1"/>
  <c r="AE17" i="15"/>
  <c r="AM17" i="15" s="1"/>
  <c r="AA74" i="15"/>
  <c r="AA12" i="15"/>
  <c r="AA102" i="15"/>
  <c r="AS114" i="15"/>
  <c r="AR114" i="15" s="1"/>
  <c r="AU114" i="15" s="1"/>
  <c r="AV114" i="15" s="1"/>
  <c r="AE9" i="15"/>
  <c r="AM9" i="15" s="1"/>
  <c r="AT9" i="15"/>
  <c r="AS9" i="15"/>
  <c r="AR9" i="15" s="1"/>
  <c r="AU9" i="15" s="1"/>
  <c r="AV9" i="15" s="1"/>
  <c r="AA9" i="15"/>
  <c r="AZ9" i="15"/>
  <c r="AS4" i="15"/>
  <c r="AR4" i="15" s="1"/>
  <c r="AU4" i="15" s="1"/>
  <c r="AV4" i="15" s="1"/>
  <c r="AA4" i="15"/>
  <c r="AD104" i="15"/>
  <c r="AA104" i="15"/>
  <c r="AD70" i="15"/>
  <c r="BA13" i="15"/>
  <c r="BB13" i="15" s="1"/>
  <c r="AT4" i="15"/>
  <c r="BA4" i="15" s="1"/>
  <c r="BB4" i="15" s="1"/>
  <c r="AA88" i="15"/>
  <c r="AT88" i="15" s="1"/>
  <c r="BA88" i="15" s="1"/>
  <c r="BB88" i="15" s="1"/>
  <c r="BA98" i="15"/>
  <c r="BB98" i="15" s="1"/>
  <c r="AZ101" i="15"/>
  <c r="AE101" i="15"/>
  <c r="AM101" i="15" s="1"/>
  <c r="AT101" i="15"/>
  <c r="AD26" i="15"/>
  <c r="AA26" i="15"/>
  <c r="AZ30" i="15"/>
  <c r="BA30" i="15" s="1"/>
  <c r="BB30" i="15" s="1"/>
  <c r="AS30" i="15"/>
  <c r="AR30" i="15" s="1"/>
  <c r="AU30" i="15" s="1"/>
  <c r="AV30" i="15" s="1"/>
  <c r="AE30" i="15"/>
  <c r="AM30" i="15" s="1"/>
  <c r="AA30" i="15"/>
  <c r="AZ6" i="15"/>
  <c r="AS6" i="15"/>
  <c r="AR6" i="15" s="1"/>
  <c r="AU6" i="15" s="1"/>
  <c r="AV6" i="15" s="1"/>
  <c r="AT6" i="15"/>
  <c r="AA6" i="15"/>
  <c r="AE6" i="15"/>
  <c r="AM6" i="15" s="1"/>
  <c r="AD113" i="15"/>
  <c r="AA113" i="15"/>
  <c r="AA84" i="15"/>
  <c r="AE84" i="15"/>
  <c r="AM84" i="15" s="1"/>
  <c r="AS84" i="15"/>
  <c r="AR84" i="15" s="1"/>
  <c r="AU84" i="15" s="1"/>
  <c r="AV84" i="15" s="1"/>
  <c r="AT84" i="15"/>
  <c r="AZ84" i="15"/>
  <c r="AE3" i="15"/>
  <c r="AM3" i="15" s="1"/>
  <c r="AZ3" i="15"/>
  <c r="AS3" i="15"/>
  <c r="AR3" i="15" s="1"/>
  <c r="AU3" i="15" s="1"/>
  <c r="AV3" i="15" s="1"/>
  <c r="AA3" i="15"/>
  <c r="AT3" i="15"/>
  <c r="AT53" i="15"/>
  <c r="AS53" i="15"/>
  <c r="AR53" i="15" s="1"/>
  <c r="AU53" i="15" s="1"/>
  <c r="AV53" i="15" s="1"/>
  <c r="AT115" i="15"/>
  <c r="AE115" i="15"/>
  <c r="AM115" i="15" s="1"/>
  <c r="AZ115" i="15"/>
  <c r="AS115" i="15"/>
  <c r="AR115" i="15" s="1"/>
  <c r="AU115" i="15" s="1"/>
  <c r="AV115" i="15" s="1"/>
  <c r="AE78" i="15"/>
  <c r="AM78" i="15" s="1"/>
  <c r="AA78" i="15"/>
  <c r="AT78" i="15"/>
  <c r="AA68" i="15"/>
  <c r="AD32" i="15"/>
  <c r="AA32" i="15"/>
  <c r="AA82" i="15"/>
  <c r="AE82" i="15"/>
  <c r="AM82" i="15" s="1"/>
  <c r="AS82" i="15"/>
  <c r="AR82" i="15" s="1"/>
  <c r="AU82" i="15" s="1"/>
  <c r="AV82" i="15" s="1"/>
  <c r="AZ82" i="15"/>
  <c r="AT82" i="15"/>
  <c r="BA67" i="15"/>
  <c r="BB67" i="15" s="1"/>
  <c r="AZ55" i="15"/>
  <c r="AA55" i="15"/>
  <c r="AE55" i="15"/>
  <c r="AM55" i="15" s="1"/>
  <c r="AS55" i="15"/>
  <c r="AR55" i="15" s="1"/>
  <c r="AU55" i="15" s="1"/>
  <c r="AV55" i="15" s="1"/>
  <c r="AT55" i="15"/>
  <c r="AT100" i="15"/>
  <c r="BA100" i="15" s="1"/>
  <c r="BB100" i="15" s="1"/>
  <c r="AS100" i="15"/>
  <c r="AR100" i="15" s="1"/>
  <c r="AU100" i="15" s="1"/>
  <c r="AV100" i="15" s="1"/>
  <c r="AZ24" i="15"/>
  <c r="BA24" i="15" s="1"/>
  <c r="BB24" i="15" s="1"/>
  <c r="AA24" i="15"/>
  <c r="AA29" i="15"/>
  <c r="AS29" i="15"/>
  <c r="AR29" i="15" s="1"/>
  <c r="AU29" i="15" s="1"/>
  <c r="AV29" i="15" s="1"/>
  <c r="AT29" i="15"/>
  <c r="AE29" i="15"/>
  <c r="AM29" i="15" s="1"/>
  <c r="AZ29" i="15"/>
  <c r="AE4" i="15"/>
  <c r="AM4" i="15" s="1"/>
  <c r="BA60" i="15"/>
  <c r="BB60" i="15" s="1"/>
  <c r="BA25" i="15"/>
  <c r="BB25" i="15" s="1"/>
  <c r="AD73" i="15"/>
  <c r="AA73" i="15"/>
  <c r="AA56" i="15"/>
  <c r="AE56" i="15"/>
  <c r="AM56" i="15" s="1"/>
  <c r="AS56" i="15"/>
  <c r="AR56" i="15" s="1"/>
  <c r="AU56" i="15" s="1"/>
  <c r="AV56" i="15" s="1"/>
  <c r="AT56" i="15"/>
  <c r="BA56" i="15" s="1"/>
  <c r="BB56" i="15" s="1"/>
  <c r="AS16" i="15"/>
  <c r="AR16" i="15" s="1"/>
  <c r="AU16" i="15" s="1"/>
  <c r="AV16" i="15" s="1"/>
  <c r="AZ16" i="15"/>
  <c r="BA16" i="15" s="1"/>
  <c r="BB16" i="15" s="1"/>
  <c r="AE16" i="15"/>
  <c r="AM16" i="15" s="1"/>
  <c r="AA16" i="15"/>
  <c r="AT68" i="15"/>
  <c r="AE68" i="15"/>
  <c r="AM68" i="15" s="1"/>
  <c r="AZ68" i="15"/>
  <c r="AS68" i="15"/>
  <c r="AR68" i="15" s="1"/>
  <c r="AU68" i="15" s="1"/>
  <c r="AV68" i="15" s="1"/>
  <c r="BA33" i="15"/>
  <c r="BB33" i="15" s="1"/>
  <c r="AS72" i="15"/>
  <c r="AR72" i="15" s="1"/>
  <c r="AU72" i="15" s="1"/>
  <c r="AV72" i="15" s="1"/>
  <c r="AT72" i="15"/>
  <c r="AE72" i="15"/>
  <c r="AM72" i="15" s="1"/>
  <c r="AZ72" i="15"/>
  <c r="AA72" i="15"/>
  <c r="AT75" i="15"/>
  <c r="AZ75" i="15"/>
  <c r="AS70" i="15"/>
  <c r="AR70" i="15" s="1"/>
  <c r="AU70" i="15" s="1"/>
  <c r="AV70" i="15" s="1"/>
  <c r="AT70" i="15"/>
  <c r="BA70" i="15" s="1"/>
  <c r="BB70" i="15" s="1"/>
  <c r="AE70" i="15"/>
  <c r="AM70" i="15" s="1"/>
  <c r="AT109" i="15"/>
  <c r="AE109" i="15"/>
  <c r="AM109" i="15" s="1"/>
  <c r="AA109" i="15"/>
  <c r="AZ109" i="15"/>
  <c r="AS109" i="15"/>
  <c r="AR109" i="15" s="1"/>
  <c r="AU109" i="15" s="1"/>
  <c r="AV109" i="15" s="1"/>
  <c r="AT96" i="15"/>
  <c r="BA96" i="15" s="1"/>
  <c r="BB96" i="15" s="1"/>
  <c r="AS96" i="15"/>
  <c r="AR96" i="15" s="1"/>
  <c r="AU96" i="15" s="1"/>
  <c r="AV96" i="15" s="1"/>
  <c r="AA96" i="15"/>
  <c r="AE96" i="15"/>
  <c r="AM96" i="15" s="1"/>
  <c r="AT74" i="15"/>
  <c r="AE74" i="15"/>
  <c r="AM74" i="15" s="1"/>
  <c r="AE37" i="15"/>
  <c r="AM37" i="15" s="1"/>
  <c r="AS37" i="15"/>
  <c r="AR37" i="15" s="1"/>
  <c r="AU37" i="15" s="1"/>
  <c r="AV37" i="15" s="1"/>
  <c r="AT37" i="15"/>
  <c r="AZ37" i="15"/>
  <c r="AA37" i="15"/>
  <c r="AT103" i="15"/>
  <c r="AS103" i="15"/>
  <c r="AR103" i="15" s="1"/>
  <c r="AU103" i="15" s="1"/>
  <c r="AV103" i="15" s="1"/>
  <c r="AE103" i="15"/>
  <c r="AM103" i="15" s="1"/>
  <c r="AA103" i="15"/>
  <c r="AZ103" i="15"/>
  <c r="BA103" i="15" s="1"/>
  <c r="BB103" i="15" s="1"/>
  <c r="AA54" i="15"/>
  <c r="AT54" i="15"/>
  <c r="AE54" i="15"/>
  <c r="AM54" i="15" s="1"/>
  <c r="AZ54" i="15"/>
  <c r="AS54" i="15"/>
  <c r="AR54" i="15" s="1"/>
  <c r="AU54" i="15" s="1"/>
  <c r="AV54" i="15" s="1"/>
  <c r="Y5" i="15"/>
  <c r="AD5" i="15" s="1"/>
  <c r="Z5" i="15"/>
  <c r="L116" i="15"/>
  <c r="AT48" i="15"/>
  <c r="AZ48" i="15"/>
  <c r="AE48" i="15"/>
  <c r="AM48" i="15" s="1"/>
  <c r="AA48" i="15"/>
  <c r="AS48" i="15"/>
  <c r="AR48" i="15" s="1"/>
  <c r="AU48" i="15" s="1"/>
  <c r="AV48" i="15" s="1"/>
  <c r="AT20" i="15"/>
  <c r="AU20" i="15" s="1"/>
  <c r="AV20" i="15" s="1"/>
  <c r="AE20" i="15"/>
  <c r="AM20" i="15" s="1"/>
  <c r="AA20" i="15"/>
  <c r="AA52" i="15"/>
  <c r="AS52" i="15"/>
  <c r="AR52" i="15" s="1"/>
  <c r="AU52" i="15" s="1"/>
  <c r="AV52" i="15" s="1"/>
  <c r="AT52" i="15"/>
  <c r="AE52" i="15"/>
  <c r="AM52" i="15" s="1"/>
  <c r="AZ52" i="15"/>
  <c r="AE107" i="15"/>
  <c r="AM107" i="15" s="1"/>
  <c r="AS107" i="15"/>
  <c r="AR107" i="15" s="1"/>
  <c r="AU107" i="15" s="1"/>
  <c r="AV107" i="15" s="1"/>
  <c r="AZ107" i="15"/>
  <c r="AT107" i="15"/>
  <c r="AA107" i="15"/>
  <c r="AS94" i="15"/>
  <c r="AR94" i="15" s="1"/>
  <c r="AU94" i="15" s="1"/>
  <c r="AV94" i="15" s="1"/>
  <c r="AT94" i="15"/>
  <c r="AA94" i="15"/>
  <c r="AZ94" i="15"/>
  <c r="AE94" i="15"/>
  <c r="AM94" i="15" s="1"/>
  <c r="AD23" i="15"/>
  <c r="AA23" i="15"/>
  <c r="AT40" i="15"/>
  <c r="AZ40" i="15"/>
  <c r="AS40" i="15"/>
  <c r="AR40" i="15" s="1"/>
  <c r="AU40" i="15" s="1"/>
  <c r="AV40" i="15" s="1"/>
  <c r="AE40" i="15"/>
  <c r="AM40" i="15" s="1"/>
  <c r="AA40" i="15"/>
  <c r="AT65" i="15"/>
  <c r="AE65" i="15"/>
  <c r="AM65" i="15" s="1"/>
  <c r="AS65" i="15"/>
  <c r="AR65" i="15" s="1"/>
  <c r="AU65" i="15" s="1"/>
  <c r="AV65" i="15" s="1"/>
  <c r="AA65" i="15"/>
  <c r="AZ65" i="15"/>
  <c r="BA65" i="15" s="1"/>
  <c r="BB65" i="15" s="1"/>
  <c r="AZ46" i="15"/>
  <c r="BA46" i="15" s="1"/>
  <c r="BB46" i="15" s="1"/>
  <c r="AS46" i="15"/>
  <c r="AR46" i="15" s="1"/>
  <c r="AU46" i="15" s="1"/>
  <c r="AV46" i="15" s="1"/>
  <c r="AA46" i="15"/>
  <c r="AE46" i="15"/>
  <c r="AM46" i="15" s="1"/>
  <c r="AT45" i="15"/>
  <c r="AZ45" i="15"/>
  <c r="AS45" i="15"/>
  <c r="AR45" i="15" s="1"/>
  <c r="AU45" i="15" s="1"/>
  <c r="AV45" i="15" s="1"/>
  <c r="AE45" i="15"/>
  <c r="AM45" i="15" s="1"/>
  <c r="AA45" i="15"/>
  <c r="AS112" i="15"/>
  <c r="AR112" i="15" s="1"/>
  <c r="AU112" i="15" s="1"/>
  <c r="AV112" i="15" s="1"/>
  <c r="AA112" i="15"/>
  <c r="AT112" i="15"/>
  <c r="AE112" i="15"/>
  <c r="AM112" i="15" s="1"/>
  <c r="AZ112" i="15"/>
  <c r="AZ61" i="15"/>
  <c r="BA61" i="15" s="1"/>
  <c r="BB61" i="15" s="1"/>
  <c r="AS61" i="15"/>
  <c r="AR61" i="15" s="1"/>
  <c r="AU61" i="15" s="1"/>
  <c r="AV61" i="15" s="1"/>
  <c r="AE61" i="15"/>
  <c r="AM61" i="15" s="1"/>
  <c r="AA61" i="15"/>
  <c r="AZ8" i="15"/>
  <c r="AT8" i="15"/>
  <c r="AS8" i="15"/>
  <c r="AR8" i="15" s="1"/>
  <c r="AU8" i="15" s="1"/>
  <c r="AV8" i="15" s="1"/>
  <c r="AA8" i="15"/>
  <c r="AE8" i="15"/>
  <c r="AM8" i="15" s="1"/>
  <c r="AT71" i="15"/>
  <c r="AZ71" i="15"/>
  <c r="AS71" i="15"/>
  <c r="AR71" i="15" s="1"/>
  <c r="AU71" i="15" s="1"/>
  <c r="AV71" i="15" s="1"/>
  <c r="AE71" i="15"/>
  <c r="AM71" i="15" s="1"/>
  <c r="AA71" i="15"/>
  <c r="AA89" i="15"/>
  <c r="AT89" i="15" s="1"/>
  <c r="BA89" i="15" s="1"/>
  <c r="BB89" i="15" s="1"/>
  <c r="AS89" i="15"/>
  <c r="AR89" i="15" s="1"/>
  <c r="AU89" i="15" s="1"/>
  <c r="AV89" i="15" s="1"/>
  <c r="AE89" i="15"/>
  <c r="AM89" i="15" s="1"/>
  <c r="AA41" i="15"/>
  <c r="AS41" i="15"/>
  <c r="AR41" i="15" s="1"/>
  <c r="AU41" i="15" s="1"/>
  <c r="AV41" i="15" s="1"/>
  <c r="AT41" i="15"/>
  <c r="AE41" i="15"/>
  <c r="AM41" i="15" s="1"/>
  <c r="AZ41" i="15"/>
  <c r="AS44" i="15"/>
  <c r="AR44" i="15" s="1"/>
  <c r="AU44" i="15" s="1"/>
  <c r="AV44" i="15" s="1"/>
  <c r="AA44" i="15"/>
  <c r="AZ44" i="15"/>
  <c r="AE44" i="15"/>
  <c r="AM44" i="15" s="1"/>
  <c r="AT44" i="15"/>
  <c r="AS110" i="15"/>
  <c r="AR110" i="15" s="1"/>
  <c r="AU110" i="15" s="1"/>
  <c r="AV110" i="15" s="1"/>
  <c r="AE110" i="15"/>
  <c r="AM110" i="15" s="1"/>
  <c r="AZ110" i="15"/>
  <c r="AA110" i="15"/>
  <c r="AT110" i="15"/>
  <c r="AA43" i="15"/>
  <c r="AS43" i="15"/>
  <c r="AR43" i="15" s="1"/>
  <c r="AU43" i="15" s="1"/>
  <c r="AV43" i="15" s="1"/>
  <c r="AZ43" i="15"/>
  <c r="AE43" i="15"/>
  <c r="AM43" i="15" s="1"/>
  <c r="AT43" i="15"/>
  <c r="AZ38" i="15"/>
  <c r="BA38" i="15" s="1"/>
  <c r="BB38" i="15" s="1"/>
  <c r="AA38" i="15"/>
  <c r="AS38" i="15"/>
  <c r="AR38" i="15" s="1"/>
  <c r="AU38" i="15" s="1"/>
  <c r="AV38" i="15" s="1"/>
  <c r="AE38" i="15"/>
  <c r="AM38" i="15" s="1"/>
  <c r="AS85" i="15"/>
  <c r="AR85" i="15" s="1"/>
  <c r="AU85" i="15" s="1"/>
  <c r="AV85" i="15" s="1"/>
  <c r="AZ85" i="15"/>
  <c r="AA85" i="15"/>
  <c r="AT85" i="15"/>
  <c r="AE85" i="15"/>
  <c r="AM85" i="15" s="1"/>
  <c r="AS77" i="15"/>
  <c r="AR77" i="15" s="1"/>
  <c r="AU77" i="15" s="1"/>
  <c r="AV77" i="15" s="1"/>
  <c r="AT77" i="15"/>
  <c r="BA77" i="15" s="1"/>
  <c r="BB77" i="15" s="1"/>
  <c r="AE77" i="15"/>
  <c r="AM77" i="15" s="1"/>
  <c r="AA77" i="15"/>
  <c r="AT81" i="15"/>
  <c r="AA81" i="15"/>
  <c r="AE81" i="15"/>
  <c r="AM81" i="15" s="1"/>
  <c r="AS81" i="15"/>
  <c r="AR81" i="15" s="1"/>
  <c r="AU81" i="15" s="1"/>
  <c r="AV81" i="15" s="1"/>
  <c r="AE34" i="15"/>
  <c r="AM34" i="15" s="1"/>
  <c r="AS34" i="15"/>
  <c r="AR34" i="15" s="1"/>
  <c r="AU34" i="15" s="1"/>
  <c r="AV34" i="15" s="1"/>
  <c r="AZ34" i="15"/>
  <c r="AT34" i="15"/>
  <c r="AA34" i="15"/>
  <c r="AZ81" i="15"/>
  <c r="AT11" i="15"/>
  <c r="AZ11" i="15"/>
  <c r="AA11" i="15"/>
  <c r="AE11" i="15"/>
  <c r="AM11" i="15" s="1"/>
  <c r="AS11" i="15"/>
  <c r="AR11" i="15" s="1"/>
  <c r="AU11" i="15" s="1"/>
  <c r="AV11" i="15" s="1"/>
  <c r="AA51" i="15"/>
  <c r="AT51" i="15"/>
  <c r="AZ51" i="15"/>
  <c r="AE51" i="15"/>
  <c r="AM51" i="15" s="1"/>
  <c r="AS51" i="15"/>
  <c r="AR51" i="15" s="1"/>
  <c r="AU51" i="15" s="1"/>
  <c r="AV51" i="15" s="1"/>
  <c r="BA108" i="15"/>
  <c r="BB108" i="15" s="1"/>
  <c r="AZ62" i="15"/>
  <c r="BA62" i="15" s="1"/>
  <c r="BB62" i="15" s="1"/>
  <c r="AE62" i="15"/>
  <c r="AM62" i="15" s="1"/>
  <c r="AS62" i="15"/>
  <c r="AR62" i="15" s="1"/>
  <c r="AU62" i="15" s="1"/>
  <c r="AV62" i="15" s="1"/>
  <c r="AA62" i="15"/>
  <c r="AZ15" i="15"/>
  <c r="AT15" i="15"/>
  <c r="AE15" i="15"/>
  <c r="AM15" i="15" s="1"/>
  <c r="AS15" i="15"/>
  <c r="AR15" i="15" s="1"/>
  <c r="AU15" i="15" s="1"/>
  <c r="AV15" i="15" s="1"/>
  <c r="AA15" i="15"/>
  <c r="Q12" i="3"/>
  <c r="Q22" i="3" s="1"/>
  <c r="E22" i="29" s="1"/>
  <c r="X10" i="29" s="1"/>
  <c r="U12" i="3"/>
  <c r="H22" i="3"/>
  <c r="W12" i="3"/>
  <c r="AC6" i="12"/>
  <c r="BB3" i="12"/>
  <c r="BC3" i="12" s="1"/>
  <c r="BD3" i="12" s="1"/>
  <c r="BB5" i="12"/>
  <c r="AG4" i="12"/>
  <c r="AO4" i="12" s="1"/>
  <c r="AT10" i="16"/>
  <c r="W10" i="16"/>
  <c r="AM10" i="16"/>
  <c r="AL10" i="16" s="1"/>
  <c r="AN10" i="16"/>
  <c r="AA10" i="16"/>
  <c r="AI10" i="16" s="1"/>
  <c r="AO12" i="16"/>
  <c r="AP12" i="16" s="1"/>
  <c r="AT5" i="16"/>
  <c r="AM5" i="16"/>
  <c r="AL5" i="16" s="1"/>
  <c r="W5" i="16"/>
  <c r="AN5" i="16"/>
  <c r="AA5" i="16"/>
  <c r="AI5" i="16" s="1"/>
  <c r="L11" i="16"/>
  <c r="M16" i="16"/>
  <c r="AM7" i="16"/>
  <c r="AL7" i="16" s="1"/>
  <c r="AO7" i="16" s="1"/>
  <c r="AP7" i="16" s="1"/>
  <c r="AA7" i="16"/>
  <c r="AI7" i="16" s="1"/>
  <c r="W7" i="16"/>
  <c r="AT7" i="16"/>
  <c r="AU7" i="16" s="1"/>
  <c r="AV7" i="16" s="1"/>
  <c r="AN3" i="16"/>
  <c r="AM3" i="16"/>
  <c r="AL3" i="16" s="1"/>
  <c r="AA3" i="16"/>
  <c r="AI3" i="16" s="1"/>
  <c r="W3" i="16"/>
  <c r="AT3" i="16"/>
  <c r="AN6" i="16"/>
  <c r="AM6" i="16"/>
  <c r="AL6" i="16" s="1"/>
  <c r="AA6" i="16"/>
  <c r="AI6" i="16" s="1"/>
  <c r="W6" i="16"/>
  <c r="AT6" i="16"/>
  <c r="AU6" i="16" s="1"/>
  <c r="AV6" i="16" s="1"/>
  <c r="AN8" i="16"/>
  <c r="AA8" i="16"/>
  <c r="AI8" i="16" s="1"/>
  <c r="AM8" i="16"/>
  <c r="AL8" i="16" s="1"/>
  <c r="AT8" i="16"/>
  <c r="W8" i="16"/>
  <c r="AU12" i="16"/>
  <c r="AV12" i="16" s="1"/>
  <c r="V2" i="16"/>
  <c r="J16" i="16"/>
  <c r="H5" i="18" s="1"/>
  <c r="U2" i="16"/>
  <c r="AY15" i="8"/>
  <c r="AR15" i="8"/>
  <c r="AQ15" i="8" s="1"/>
  <c r="AF15" i="8"/>
  <c r="AN15" i="8" s="1"/>
  <c r="AS15" i="8"/>
  <c r="AB15" i="8"/>
  <c r="AB2" i="8"/>
  <c r="AF2" i="8"/>
  <c r="AY2" i="8"/>
  <c r="AZ2" i="8" s="1"/>
  <c r="AR2" i="8"/>
  <c r="K19" i="8"/>
  <c r="Z11" i="8"/>
  <c r="AE11" i="8" s="1"/>
  <c r="AE17" i="8" s="1"/>
  <c r="M2" i="18" s="1"/>
  <c r="K17" i="8"/>
  <c r="I2" i="18" s="1"/>
  <c r="AT4" i="8"/>
  <c r="AU4" i="8" s="1"/>
  <c r="AS16" i="8"/>
  <c r="AQ16" i="8"/>
  <c r="AY16" i="8"/>
  <c r="AF16" i="8"/>
  <c r="AN16" i="8" s="1"/>
  <c r="AB16" i="8"/>
  <c r="AZ5" i="8"/>
  <c r="BA5" i="8" s="1"/>
  <c r="AY11" i="8"/>
  <c r="AF11" i="8"/>
  <c r="AN11" i="8" s="1"/>
  <c r="AS11" i="8"/>
  <c r="AQ11" i="8"/>
  <c r="AB10" i="8"/>
  <c r="AS10" i="8"/>
  <c r="AY10" i="8"/>
  <c r="AF10" i="8"/>
  <c r="AN10" i="8" s="1"/>
  <c r="AQ10" i="8"/>
  <c r="BB6" i="12"/>
  <c r="BC6" i="12" s="1"/>
  <c r="BD6" i="12" s="1"/>
  <c r="AG3" i="12"/>
  <c r="AO3" i="12" s="1"/>
  <c r="AV5" i="12"/>
  <c r="AC5" i="12"/>
  <c r="AC4" i="12"/>
  <c r="AG6" i="12"/>
  <c r="AO6" i="12" s="1"/>
  <c r="L13" i="12"/>
  <c r="J6" i="18" s="1"/>
  <c r="AW10" i="12"/>
  <c r="AX10" i="12" s="1"/>
  <c r="J13" i="12"/>
  <c r="H6" i="18" s="1"/>
  <c r="AB8" i="12"/>
  <c r="AW2" i="12"/>
  <c r="AX2" i="12" s="1"/>
  <c r="E2" i="11"/>
  <c r="M2" i="11" s="1"/>
  <c r="R54" i="11"/>
  <c r="K43" i="9"/>
  <c r="L43" i="9"/>
  <c r="E13" i="29" s="1"/>
  <c r="E16" i="29" s="1"/>
  <c r="X6" i="29" s="1"/>
  <c r="M4" i="9"/>
  <c r="M43" i="9" s="1"/>
  <c r="O4" i="9"/>
  <c r="N4" i="9"/>
  <c r="N43" i="9" s="1"/>
  <c r="M11" i="11"/>
  <c r="R2" i="11"/>
  <c r="W22" i="3" l="1"/>
  <c r="AB12" i="3"/>
  <c r="X12" i="3"/>
  <c r="Y12" i="3" s="1"/>
  <c r="Y2" i="3"/>
  <c r="BA114" i="15"/>
  <c r="BB114" i="15" s="1"/>
  <c r="BA87" i="15"/>
  <c r="BB87" i="15" s="1"/>
  <c r="BA78" i="15"/>
  <c r="BB78" i="15" s="1"/>
  <c r="J7" i="18"/>
  <c r="L121" i="15"/>
  <c r="BA83" i="15"/>
  <c r="BB83" i="15" s="1"/>
  <c r="AW5" i="12"/>
  <c r="AX5" i="12" s="1"/>
  <c r="AW3" i="12"/>
  <c r="AX3" i="12" s="1"/>
  <c r="BC9" i="12"/>
  <c r="BD9" i="12" s="1"/>
  <c r="H10" i="18"/>
  <c r="AW9" i="12"/>
  <c r="AX9" i="12" s="1"/>
  <c r="BC8" i="14"/>
  <c r="BD8" i="14" s="1"/>
  <c r="K24" i="14"/>
  <c r="I4" i="18" s="1"/>
  <c r="AU21" i="14"/>
  <c r="AT21" i="14" s="1"/>
  <c r="AV21" i="14"/>
  <c r="BB21" i="14"/>
  <c r="BC21" i="14" s="1"/>
  <c r="BD21" i="14" s="1"/>
  <c r="AA20" i="14"/>
  <c r="AF20" i="14" s="1"/>
  <c r="AF24" i="14" s="1"/>
  <c r="M4" i="18" s="1"/>
  <c r="M9" i="18" s="1"/>
  <c r="F20" i="29" s="1"/>
  <c r="F26" i="29" s="1"/>
  <c r="F28" i="29" s="1"/>
  <c r="BA8" i="13"/>
  <c r="U3" i="18" s="1"/>
  <c r="AU8" i="13"/>
  <c r="S3" i="18" s="1"/>
  <c r="AV8" i="13"/>
  <c r="T3" i="18" s="1"/>
  <c r="AB11" i="8"/>
  <c r="AT10" i="8"/>
  <c r="AU10" i="8" s="1"/>
  <c r="AT11" i="8"/>
  <c r="AU11" i="8" s="1"/>
  <c r="AZ16" i="8"/>
  <c r="BA16" i="8" s="1"/>
  <c r="AT16" i="8"/>
  <c r="AU16" i="8" s="1"/>
  <c r="J9" i="18"/>
  <c r="B20" i="29" s="1"/>
  <c r="V9" i="29" s="1"/>
  <c r="V12" i="29" s="1"/>
  <c r="V17" i="29" s="1"/>
  <c r="I10" i="18"/>
  <c r="I9" i="18"/>
  <c r="H9" i="18"/>
  <c r="D8" i="29"/>
  <c r="L19" i="22"/>
  <c r="AC21" i="14"/>
  <c r="AU4" i="16"/>
  <c r="AV4" i="16" s="1"/>
  <c r="AW8" i="14"/>
  <c r="AX8" i="14" s="1"/>
  <c r="AV20" i="14"/>
  <c r="AU20" i="14"/>
  <c r="AT20" i="14" s="1"/>
  <c r="AW20" i="14" s="1"/>
  <c r="AX20" i="14" s="1"/>
  <c r="AC20" i="14"/>
  <c r="BB20" i="14"/>
  <c r="BA53" i="15"/>
  <c r="BB53" i="15" s="1"/>
  <c r="BA74" i="15"/>
  <c r="BB74" i="15" s="1"/>
  <c r="BA58" i="15"/>
  <c r="BB58" i="15" s="1"/>
  <c r="BA101" i="15"/>
  <c r="BB101" i="15" s="1"/>
  <c r="BA76" i="15"/>
  <c r="BB76" i="15" s="1"/>
  <c r="AU3" i="16"/>
  <c r="AV3" i="16" s="1"/>
  <c r="AO10" i="16"/>
  <c r="AP10" i="16" s="1"/>
  <c r="AU8" i="16"/>
  <c r="AV8" i="16" s="1"/>
  <c r="AO3" i="16"/>
  <c r="AP3" i="16" s="1"/>
  <c r="BA11" i="15"/>
  <c r="BB11" i="15" s="1"/>
  <c r="AO8" i="16"/>
  <c r="AP8" i="16" s="1"/>
  <c r="BA29" i="15"/>
  <c r="BB29" i="15" s="1"/>
  <c r="AE95" i="15"/>
  <c r="AM95" i="15" s="1"/>
  <c r="AT95" i="15"/>
  <c r="AS95" i="15"/>
  <c r="AR95" i="15" s="1"/>
  <c r="AA95" i="15"/>
  <c r="AZ95" i="15"/>
  <c r="BA20" i="15"/>
  <c r="BB20" i="15" s="1"/>
  <c r="BA52" i="15"/>
  <c r="BB52" i="15" s="1"/>
  <c r="BA72" i="15"/>
  <c r="BB72" i="15" s="1"/>
  <c r="BA3" i="15"/>
  <c r="BB3" i="15" s="1"/>
  <c r="BA9" i="15"/>
  <c r="BB9" i="15" s="1"/>
  <c r="BA99" i="15"/>
  <c r="BB99" i="15" s="1"/>
  <c r="AN14" i="16"/>
  <c r="AA13" i="16"/>
  <c r="AI13" i="16" s="1"/>
  <c r="AM13" i="16"/>
  <c r="AL13" i="16" s="1"/>
  <c r="AO13" i="16" s="1"/>
  <c r="AP13" i="16" s="1"/>
  <c r="W13" i="16"/>
  <c r="AT13" i="16"/>
  <c r="AU13" i="16" s="1"/>
  <c r="AV13" i="16" s="1"/>
  <c r="BD2" i="14"/>
  <c r="AG24" i="14"/>
  <c r="N4" i="18" s="1"/>
  <c r="AX2" i="14"/>
  <c r="BA94" i="15"/>
  <c r="BB94" i="15" s="1"/>
  <c r="BA54" i="15"/>
  <c r="BB54" i="15" s="1"/>
  <c r="BA112" i="15"/>
  <c r="BB112" i="15" s="1"/>
  <c r="BA71" i="15"/>
  <c r="BB71" i="15" s="1"/>
  <c r="BA109" i="15"/>
  <c r="BB109" i="15" s="1"/>
  <c r="BA75" i="15"/>
  <c r="BB75" i="15" s="1"/>
  <c r="BA6" i="15"/>
  <c r="BB6" i="15" s="1"/>
  <c r="BA8" i="15"/>
  <c r="BB8" i="15" s="1"/>
  <c r="BA107" i="15"/>
  <c r="BB107" i="15" s="1"/>
  <c r="BA82" i="15"/>
  <c r="BB82" i="15" s="1"/>
  <c r="BA68" i="15"/>
  <c r="BB68" i="15" s="1"/>
  <c r="BA115" i="15"/>
  <c r="BB115" i="15" s="1"/>
  <c r="BA110" i="15"/>
  <c r="BB110" i="15" s="1"/>
  <c r="BA45" i="15"/>
  <c r="BB45" i="15" s="1"/>
  <c r="BA55" i="15"/>
  <c r="BB55" i="15" s="1"/>
  <c r="BA84" i="15"/>
  <c r="BB84" i="15" s="1"/>
  <c r="BA34" i="15"/>
  <c r="BB34" i="15" s="1"/>
  <c r="BA85" i="15"/>
  <c r="BB85" i="15" s="1"/>
  <c r="BA43" i="15"/>
  <c r="BB43" i="15" s="1"/>
  <c r="BA44" i="15"/>
  <c r="BB44" i="15" s="1"/>
  <c r="BA40" i="15"/>
  <c r="BB40" i="15" s="1"/>
  <c r="BA48" i="15"/>
  <c r="BB48" i="15" s="1"/>
  <c r="BA37" i="15"/>
  <c r="BB37" i="15" s="1"/>
  <c r="BA15" i="15"/>
  <c r="BB15" i="15" s="1"/>
  <c r="BA51" i="15"/>
  <c r="BB51" i="15" s="1"/>
  <c r="BA81" i="15"/>
  <c r="BB81" i="15" s="1"/>
  <c r="BA41" i="15"/>
  <c r="BB41" i="15" s="1"/>
  <c r="AT5" i="15"/>
  <c r="AS5" i="15"/>
  <c r="AR5" i="15" s="1"/>
  <c r="AU5" i="15" s="1"/>
  <c r="AV5" i="15" s="1"/>
  <c r="AE5" i="15"/>
  <c r="AM5" i="15" s="1"/>
  <c r="AZ5" i="15"/>
  <c r="AA5" i="15"/>
  <c r="BC5" i="12"/>
  <c r="BD5" i="12" s="1"/>
  <c r="AG13" i="12"/>
  <c r="N6" i="18" s="1"/>
  <c r="AU10" i="16"/>
  <c r="AV10" i="16" s="1"/>
  <c r="AU5" i="16"/>
  <c r="AV5" i="16" s="1"/>
  <c r="AO5" i="16"/>
  <c r="AP5" i="16" s="1"/>
  <c r="W2" i="16"/>
  <c r="AA2" i="16"/>
  <c r="AL2" i="16"/>
  <c r="AO2" i="16" s="1"/>
  <c r="AT2" i="16"/>
  <c r="AU2" i="16" s="1"/>
  <c r="AO6" i="16"/>
  <c r="AP6" i="16" s="1"/>
  <c r="V11" i="16"/>
  <c r="L16" i="16"/>
  <c r="J5" i="18" s="1"/>
  <c r="AT15" i="8"/>
  <c r="AU15" i="8" s="1"/>
  <c r="AZ15" i="8"/>
  <c r="BA15" i="8" s="1"/>
  <c r="AZ10" i="8"/>
  <c r="BA10" i="8" s="1"/>
  <c r="BA2" i="8"/>
  <c r="AZ11" i="8"/>
  <c r="BA11" i="8" s="1"/>
  <c r="AQ2" i="8"/>
  <c r="AT2" i="8" s="1"/>
  <c r="AN2" i="8"/>
  <c r="AF17" i="8"/>
  <c r="N2" i="18" s="1"/>
  <c r="BB8" i="12"/>
  <c r="BC8" i="12" s="1"/>
  <c r="AC8" i="12"/>
  <c r="AT8" i="12"/>
  <c r="AW8" i="12" s="1"/>
  <c r="AX8" i="12" s="1"/>
  <c r="AX6" i="12"/>
  <c r="Q2" i="11"/>
  <c r="Q38" i="11" s="1"/>
  <c r="E8" i="29" s="1"/>
  <c r="P4" i="9"/>
  <c r="P43" i="9" s="1"/>
  <c r="C13" i="29" s="1"/>
  <c r="O43" i="9"/>
  <c r="E18" i="29" l="1"/>
  <c r="X5" i="29"/>
  <c r="X8" i="29" s="1"/>
  <c r="X22" i="3"/>
  <c r="W23" i="3"/>
  <c r="AB22" i="3"/>
  <c r="J10" i="18"/>
  <c r="AU95" i="15"/>
  <c r="AV95" i="15" s="1"/>
  <c r="AW21" i="14"/>
  <c r="AX21" i="14" s="1"/>
  <c r="B26" i="29"/>
  <c r="D13" i="29"/>
  <c r="C16" i="29"/>
  <c r="W6" i="29" s="1"/>
  <c r="W8" i="29" s="1"/>
  <c r="BC20" i="14"/>
  <c r="BD20" i="14" s="1"/>
  <c r="BA95" i="15"/>
  <c r="BB95" i="15" s="1"/>
  <c r="AO14" i="16"/>
  <c r="AP14" i="16" s="1"/>
  <c r="AU14" i="16"/>
  <c r="AV14" i="16" s="1"/>
  <c r="AW24" i="14"/>
  <c r="AX24" i="14" s="1"/>
  <c r="T4" i="18" s="1"/>
  <c r="BA5" i="15"/>
  <c r="BB5" i="15" s="1"/>
  <c r="W11" i="16"/>
  <c r="AA11" i="16"/>
  <c r="AI11" i="16" s="1"/>
  <c r="AN11" i="16"/>
  <c r="AT11" i="16"/>
  <c r="AL11" i="16"/>
  <c r="AP2" i="16"/>
  <c r="AV2" i="16"/>
  <c r="AI2" i="16"/>
  <c r="AT17" i="8"/>
  <c r="AU2" i="8"/>
  <c r="AZ17" i="8"/>
  <c r="BD8" i="12"/>
  <c r="BC13" i="12"/>
  <c r="AW13" i="12"/>
  <c r="AX13" i="12" s="1"/>
  <c r="T6" i="18" s="1"/>
  <c r="C22" i="29" l="1"/>
  <c r="X23" i="3"/>
  <c r="BC24" i="14"/>
  <c r="U4" i="18" s="1"/>
  <c r="B31" i="29"/>
  <c r="B28" i="29"/>
  <c r="D16" i="29"/>
  <c r="C18" i="29"/>
  <c r="J11" i="18"/>
  <c r="S4" i="18"/>
  <c r="AA16" i="16"/>
  <c r="N5" i="18" s="1"/>
  <c r="AO11" i="16"/>
  <c r="S6" i="18"/>
  <c r="AU11" i="16"/>
  <c r="BA17" i="8"/>
  <c r="V2" i="18" s="1"/>
  <c r="U2" i="18"/>
  <c r="AU17" i="8"/>
  <c r="T2" i="18" s="1"/>
  <c r="S2" i="18"/>
  <c r="U6" i="18"/>
  <c r="BD13" i="12"/>
  <c r="V6" i="18" s="1"/>
  <c r="D22" i="29" l="1"/>
  <c r="W10" i="29"/>
  <c r="BD24" i="14"/>
  <c r="V4" i="18" s="1"/>
  <c r="D18" i="29"/>
  <c r="N9" i="18"/>
  <c r="AP11" i="16"/>
  <c r="AO16" i="16"/>
  <c r="AV11" i="16"/>
  <c r="AU16" i="16"/>
  <c r="U5" i="18" s="1"/>
  <c r="U9" i="18" s="1"/>
  <c r="V9" i="18" s="1"/>
  <c r="N11" i="18" l="1"/>
  <c r="E20" i="29"/>
  <c r="AP16" i="16"/>
  <c r="T5" i="18" s="1"/>
  <c r="S5" i="18"/>
  <c r="E26" i="29" l="1"/>
  <c r="E28" i="29" s="1"/>
  <c r="X9" i="29"/>
  <c r="X12" i="29" s="1"/>
  <c r="S9" i="18"/>
  <c r="C20" i="29" s="1"/>
  <c r="W9" i="29" s="1"/>
  <c r="W12" i="29" s="1"/>
  <c r="W17" i="29" s="1"/>
  <c r="D20" i="29" l="1"/>
  <c r="C26" i="29"/>
  <c r="S11" i="18"/>
  <c r="T9" i="18"/>
  <c r="D26" i="29" l="1"/>
  <c r="C28" i="29"/>
  <c r="D28" i="29" s="1"/>
  <c r="C31" i="29"/>
  <c r="M19" i="22"/>
</calcChain>
</file>

<file path=xl/comments1.xml><?xml version="1.0" encoding="utf-8"?>
<comments xmlns="http://schemas.openxmlformats.org/spreadsheetml/2006/main">
  <authors>
    <author>Jonas Klarin</author>
    <author>Jan Pettersson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fr Sidas 73-konto om ej annat anges</t>
        </r>
      </text>
    </comment>
    <comment ref="A10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Baserad i Bosnien Herzegovina
All verksamhet utomlands</t>
        </r>
      </text>
    </comment>
  </commentList>
</comments>
</file>

<file path=xl/comments10.xml><?xml version="1.0" encoding="utf-8"?>
<comments xmlns="http://schemas.openxmlformats.org/spreadsheetml/2006/main">
  <authors>
    <author>Jan Pettersson</author>
    <author>Jonas</author>
    <author>Jonas Klarin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EJ FRAMGÅR I ÅR, RÄKNA ENBART SUMMAN FRÅN RAMEN SOM BIST.VERKS.
</t>
        </r>
      </text>
    </comment>
    <comment ref="L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Enligt resp. org. årsred.</t>
        </r>
      </text>
    </comment>
    <comment ref="AA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biståndsverksamhet inte särredovisas, anta samma som bitsåndsramen</t>
        </r>
      </text>
    </comment>
    <comment ref="AT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inte explicit verksamhet i SE angivet och OM personalkostn &gt; adminkostn: Ta bort 80% av adminkostn och ta biståndsramens andel av denna summa. Detta blit verksamhetskostnaden i Sverige</t>
        </r>
      </text>
    </comment>
    <comment ref="AV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Om ej framgår expl, beräkn enligt admin.kost* (andel bistånd/andel intäkter bist verksmht)</t>
        </r>
      </text>
    </comment>
    <comment ref="N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intäkter fr Forum Syd och Sida, s.29 i årsred.</t>
        </r>
      </text>
    </comment>
    <comment ref="O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Forum Syd och Sida s.29 i årsred.</t>
        </r>
      </text>
    </comment>
    <comment ref="AE2" authorId="2">
      <text>
        <r>
          <rPr>
            <b/>
            <sz val="9"/>
            <color indexed="81"/>
            <rFont val="Tahoma"/>
            <family val="2"/>
          </rPr>
          <t xml:space="preserve">Jonas Klarin:
</t>
        </r>
        <r>
          <rPr>
            <sz val="9"/>
            <color indexed="81"/>
            <rFont val="Tahoma"/>
            <family val="2"/>
          </rPr>
          <t xml:space="preserve">Skiljer ej på anställda tot och i SE.
Antag att samtliga är utlandsstationerade!
</t>
        </r>
      </text>
    </comment>
    <comment ref="AH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av totalten</t>
        </r>
      </text>
    </comment>
    <comment ref="AI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inte  på anställda i världen och anställda i SE. Se s. 30 i årsred.</t>
        </r>
      </text>
    </comment>
    <comment ref="AJ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Se not S293</t>
        </r>
      </text>
    </comment>
    <comment ref="AP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Sid 31 i ÅR</t>
        </r>
      </text>
    </comment>
    <comment ref="AQ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s.27 i årsred.</t>
        </r>
      </text>
    </comment>
    <comment ref="AR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insamlingskostnader s.27 i årsred.</t>
        </r>
      </text>
    </comment>
    <comment ref="AI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tot. löner och ersättningar, s.66 i årsred.</t>
        </r>
      </text>
    </comment>
    <comment ref="AJ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s.66 i årsred. </t>
        </r>
      </text>
    </comment>
    <comment ref="AM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s.38 i årsred.</t>
        </r>
      </text>
    </comment>
    <comment ref="AP3" authorId="0">
      <text>
        <r>
          <rPr>
            <sz val="9"/>
            <color indexed="81"/>
            <rFont val="Tahoma"/>
            <family val="2"/>
          </rPr>
          <t xml:space="preserve">Antag att föreningsutveckling (38,856) och stödkostnader (21,402) ur internatinell konflikt och katastrof ingår samt kommunikation (18,427).
</t>
        </r>
      </text>
    </comment>
    <comment ref="AQ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"administration" s.56 i årsred.</t>
        </r>
      </text>
    </comment>
    <comment ref="AU3" authorId="0">
      <text>
        <r>
          <rPr>
            <sz val="9"/>
            <color indexed="81"/>
            <rFont val="Tahoma"/>
            <family val="2"/>
          </rPr>
          <t xml:space="preserve">Detta är redan fördelat på bistverksamhet = multiplicera ej med kolumn AG!)
</t>
        </r>
      </text>
    </comment>
    <comment ref="J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s.39 i KtK årsred.</t>
        </r>
      </text>
    </comment>
    <comment ref="O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Forum Syd, SI och Hivos, s.43 i KtK årsred. 1,574 fr FS enl FS internt dok.</t>
        </r>
      </text>
    </comment>
    <comment ref="W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Sida-anslag för projekt och verksamh. s.43 i årsred.</t>
        </r>
      </text>
    </comment>
    <comment ref="AD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medeltal, s.44 i årsred.</t>
        </r>
      </text>
    </comment>
    <comment ref="AE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s.43 i årsred.</t>
        </r>
      </text>
    </comment>
    <comment ref="AH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s.43 i årsred. "samtliga kvinnor"</t>
        </r>
      </text>
    </comment>
    <comment ref="AI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s.43 i årsred.</t>
        </r>
      </text>
    </comment>
    <comment ref="AJ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s.43 i årsred.</t>
        </r>
      </text>
    </comment>
    <comment ref="R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WE Effects, enl. Vi-skogen. s. 14 i Vi-Skogens årsred. NB. stämmer ej m. WEE årsred.</t>
        </r>
      </text>
    </comment>
    <comment ref="AD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årsred.</t>
        </r>
      </text>
    </comment>
    <comment ref="AQ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administrationskostnader s.11 i Vi-skogens årsred.</t>
        </r>
      </text>
    </comment>
    <comment ref="J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s.10 i årsred.</t>
        </r>
      </text>
    </comment>
    <comment ref="R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Svenska Institutet, s.12 i årsred.</t>
        </r>
      </text>
    </comment>
    <comment ref="U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"Min.of Foreign Affairs" s.12</t>
        </r>
      </text>
    </comment>
    <comment ref="W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Sida, s.12 i årsred.</t>
        </r>
      </text>
    </comment>
    <comment ref="Y6" authorId="2">
      <text>
        <r>
          <rPr>
            <b/>
            <sz val="9"/>
            <color indexed="81"/>
            <rFont val="Tahoma"/>
            <family val="2"/>
          </rPr>
          <t xml:space="preserve">Jonas Klarin:
? </t>
        </r>
        <r>
          <rPr>
            <sz val="9"/>
            <color indexed="81"/>
            <rFont val="Tahoma"/>
            <family val="2"/>
          </rPr>
          <t>se Sidas årsred. s.196</t>
        </r>
      </text>
    </comment>
    <comment ref="AI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"pay and other remuneration in Sweden" s.13 i årsred.</t>
        </r>
      </text>
    </comment>
    <comment ref="AQ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"total admin costs", s.13 i årsred.</t>
        </r>
      </text>
    </comment>
    <comment ref="J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K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AD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s.23 i årsred.</t>
        </r>
      </text>
    </comment>
    <comment ref="AE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s.23 i årsred.</t>
        </r>
      </text>
    </comment>
    <comment ref="AF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s.23 i årsred.</t>
        </r>
      </text>
    </comment>
    <comment ref="A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hemsida. Har kontaktats men inte svarat. 
</t>
        </r>
        <r>
          <rPr>
            <b/>
            <sz val="9"/>
            <color indexed="81"/>
            <rFont val="Tahoma"/>
            <family val="2"/>
          </rPr>
          <t>Janne:</t>
        </r>
        <r>
          <rPr>
            <sz val="9"/>
            <color indexed="81"/>
            <rFont val="Tahoma"/>
            <family val="2"/>
          </rPr>
          <t xml:space="preserve"> Från hemsidan: Oxfam Sverige har konsoliderad ekonomi med Oxfam Novib i Holland. För varje insamlad hundralapp går 90 kronor direkt till projektverksamheten.
Totala intäkter uppgick till 207 miljoner Euro. Omöjligt att särskilja Sverige i redovisningen Antag noll anställda och hela beloppet använt i Sverige för informationsverksamhet!
Enligt Financial Statement 2013-2014 sid. 37 erhölls 21,5 miljoer Euro från Sida!</t>
        </r>
      </text>
    </comment>
    <comment ref="F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ej ram org men har fått stöd inom ramen för regerings satsningar på barn och ungdomars rätt till hälsa och utbildning.</t>
        </r>
      </text>
    </comment>
    <comment ref="J8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Absolut fel då egen insamling gjorts!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Absolut fel då egen insamling gjorts!</t>
        </r>
      </text>
    </comment>
    <comment ref="N8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Enligt Financial Statement 2013-2014 sid. 37 erhölls 21,5 miljoer Euro från Sida!
Här används Sidas uppgifter</t>
        </r>
      </text>
    </comment>
    <comment ref="J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insamlade medel+erhållna bidrag, s.16 i årsred.</t>
        </r>
      </text>
    </comment>
    <comment ref="O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 1,412 enl Hungerprojektets årsred.</t>
        </r>
      </text>
    </comment>
    <comment ref="AD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 i årsred</t>
        </r>
      </text>
    </comment>
    <comment ref="AE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s.17 i årsred.</t>
        </r>
      </text>
    </comment>
    <comment ref="AI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s.17 i årsred.</t>
        </r>
      </text>
    </comment>
    <comment ref="AQ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administrationskostnader s.16 i årsred.</t>
        </r>
      </text>
    </comment>
    <comment ref="AR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insamlingskostnader s.16 i årsred.</t>
        </r>
      </text>
    </comment>
    <comment ref="AE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s.7&amp;12 i årsred.</t>
        </r>
      </text>
    </comment>
    <comment ref="AI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s.12 i årsred.</t>
        </r>
      </text>
    </comment>
    <comment ref="AQ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"mngmt and general" s.9 i årsred.</t>
        </r>
      </text>
    </comment>
    <comment ref="O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L1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Är ev flerårigt bidrag. Framgår inte.</t>
        </r>
      </text>
    </comment>
    <comment ref="AE1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18 "anställda under året" enl verksber. Dock började flera under kalenderåret. Räkna på 70% i snitt!
</t>
        </r>
      </text>
    </comment>
  </commentList>
</comments>
</file>

<file path=xl/comments11.xml><?xml version="1.0" encoding="utf-8"?>
<comments xmlns="http://schemas.openxmlformats.org/spreadsheetml/2006/main">
  <authors>
    <author>Jan Pettersson</author>
    <author>Jonas</author>
    <author>Jonas Klarin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EJ FRAMGÅR I ÅR, RÄKNA ENBART SUMMAN FRÅN RAMEN SOM BIST.VERKS.
</t>
        </r>
      </text>
    </comment>
    <comment ref="L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Enligt resp. org. årsred.</t>
        </r>
      </text>
    </comment>
    <comment ref="U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biståndsverksamhet inte särredovisas, anta samma som bitsåndsramen</t>
        </r>
      </text>
    </comment>
    <comment ref="AL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inte explicit verksamhet i SE angivet och OM personalkostn &gt; adminkostn: Ta bort 80% av adminkostn och ta biståndsramens andel av denna summa. Detta blit verksamhetskostnaden i Sverige</t>
        </r>
      </text>
    </comment>
    <comment ref="AN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Om ej framgår expl, beräkn enligt admin.kost* (andel bistånd/andel intäkter bist verksmht)</t>
        </r>
      </text>
    </comment>
    <comment ref="A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Adra ingen egen årsred. Därför data från Adventistsamfundet som Adra är en del av.</t>
        </r>
      </text>
    </comment>
    <comment ref="K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I årsredovisningen angiven insamlingsverksamhet, punkterna 1-3 + angivet från SMR</t>
        </r>
      </text>
    </comment>
    <comment ref="O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enligt SMR:s årsred. s.42</t>
        </r>
      </text>
    </comment>
    <comment ref="X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Obs! medeltalet anställda i adventistsamfundet, inte i Adra.</t>
        </r>
      </text>
    </comment>
    <comment ref="Y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om i SE eller utomlands, dock troligtvis i SE.</t>
        </r>
      </text>
    </comment>
    <comment ref="AC2" authorId="2">
      <text>
        <r>
          <rPr>
            <b/>
            <sz val="9"/>
            <color indexed="81"/>
            <rFont val="Tahoma"/>
            <family val="2"/>
          </rPr>
          <t xml:space="preserve">Janne:
</t>
        </r>
        <r>
          <rPr>
            <sz val="9"/>
            <color indexed="81"/>
            <rFont val="Tahoma"/>
            <family val="2"/>
          </rPr>
          <t>Proportionell andel av totalen för Adventistsamfundets 37 anställda (not 1 och 2 i årsredovisningen)</t>
        </r>
      </text>
    </comment>
    <comment ref="AD2" authorId="2">
      <text>
        <r>
          <rPr>
            <b/>
            <sz val="9"/>
            <color indexed="81"/>
            <rFont val="Tahoma"/>
            <family val="2"/>
          </rPr>
          <t xml:space="preserve">Janne:
</t>
        </r>
        <r>
          <rPr>
            <sz val="9"/>
            <color indexed="81"/>
            <rFont val="Tahoma"/>
            <family val="2"/>
          </rPr>
          <t>Proportionell andel av totalen för Adventistsamfundets 37 anställda (not 1 och 2 i årsredovisningen)</t>
        </r>
      </text>
    </comment>
    <comment ref="AG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medlemmar i Adventistsamfundet.</t>
        </r>
      </text>
    </comment>
    <comment ref="AJ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eftersom Adventistsamfundet ej särskiljer Adra i årsred. ej rättvisande att införa Adv.samf. i AG19-AL19.</t>
        </r>
      </text>
    </comment>
    <comment ref="AK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Redoviasar ej edminkostnader utan extern mission, lokaler samt övriga externa kostnader</t>
        </r>
      </text>
    </comment>
    <comment ref="O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BM skiljer ej på bistånd från Sida och Radiohjälpen! s.20, 4,293 fr Sida enl. SMR s.42</t>
        </r>
      </text>
    </comment>
    <comment ref="X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medel</t>
        </r>
      </text>
    </comment>
    <comment ref="AB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kön på den person ej anställd i SE, s.27 i årsred.</t>
        </r>
      </text>
    </comment>
    <comment ref="AC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totala lönekostnader-missionschef på Philippinerna s.27 i årsred.</t>
        </r>
      </text>
    </comment>
    <comment ref="AD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beräkn. enl. tot.soc.kost -soc.kost*missionschefs lön som andel av tot lönekost, s.27</t>
        </r>
      </text>
    </comment>
    <comment ref="AJ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lönekostnader +infomation s.24</t>
        </r>
      </text>
    </comment>
    <comment ref="A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hemsidan. Tidigare Baptistsamfundet, Missionskyrkan och Metodistkyrkan.</t>
        </r>
      </text>
    </comment>
    <comment ref="J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s.47 i årsred.</t>
        </r>
      </text>
    </comment>
    <comment ref="L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7,076 enl EFK årsed. s.52.</t>
        </r>
      </text>
    </comment>
    <comment ref="O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enligt SMR årsred. s.42</t>
        </r>
      </text>
    </comment>
    <comment ref="X4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På sid 43 i vb anges 97 totalt anställda varav 11 i utlandet per den 1 september 2013. Snitt 87 i Sverige således (sid 53)</t>
        </r>
      </text>
    </comment>
    <comment ref="Y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antalet anställda i Sverige och utlandet (s.53 i årsred.)</t>
        </r>
      </text>
    </comment>
    <comment ref="AK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"administrationskostnader" s.47 i årsred.</t>
        </r>
      </text>
    </comment>
    <comment ref="J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Erikshjälpens årsred. s. 41</t>
        </r>
      </text>
    </comment>
    <comment ref="O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SMR. Eriks-hjälpens årsred. s.46. 26,853 enligt SMRs årsred. s.42</t>
        </r>
      </text>
    </comment>
    <comment ref="X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antal anställda</t>
        </r>
      </text>
    </comment>
    <comment ref="AB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 45 EH årsred.</t>
        </r>
      </text>
    </comment>
    <comment ref="J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s.38 i årsred.</t>
        </r>
      </text>
    </comment>
    <comment ref="K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iståndsverksmhet och övrig verksamhet i årsred.</t>
        </r>
      </text>
    </comment>
    <comment ref="O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enligt SMR årsred. s.42, förmodl. detsamma som "övriga statsbidrag 12,502" i EFK:s årsred. s.42</t>
        </r>
      </text>
    </comment>
    <comment ref="R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"Sida-bidrag+Sida administrationsbidrag", s.42 i årsred.</t>
        </r>
      </text>
    </comment>
    <comment ref="X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s.42 i årsred.</t>
        </r>
      </text>
    </comment>
    <comment ref="Y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s.42 i årsred.</t>
        </r>
      </text>
    </comment>
    <comment ref="AB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s.42 i årsred.</t>
        </r>
      </text>
    </comment>
    <comment ref="AC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Särskiljer ej lönekostnader i SE och utlandet.
Janne:
Räkna lågt: Ta total kostnad * andel sverigeanställda = antar lika hög lön i utlandet = underskattning av lönekostnader i SE
Sid 42</t>
        </r>
      </text>
    </comment>
    <comment ref="AD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Särskiljer ej lönekostnader i SE och utlandet.
Janne:
Räkna lågt: Ta total kostnad * andel sverigeanställda = antar lika hög lön i utlandet = underskattning av lönekostnader i SE
Sid 42</t>
        </r>
      </text>
    </comment>
    <comment ref="AG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s.47 i årsred.</t>
        </r>
      </text>
    </comment>
    <comment ref="AM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går ej att säga ngt om pga särskiljer ej verksmht i SE eller utlandet. t.ex. personalkostnade ihopklumpade.</t>
        </r>
      </text>
    </comment>
    <comment ref="J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s.31 i FoS årsred.</t>
        </r>
      </text>
    </comment>
    <comment ref="O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s.31 i FoS årsred. samt s.42 i SMRs årsred.</t>
        </r>
      </text>
    </comment>
    <comment ref="X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s.26 i FoS årsred.</t>
        </r>
      </text>
    </comment>
    <comment ref="Z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"missionsföreståndare+projekthandläggare", min tolkning s.26 i FoS årsred.</t>
        </r>
      </text>
    </comment>
    <comment ref="AC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lönekostnader i SE och utomlands, s.36 i årsred.
Janne:
Se Evangeliska frikyrkan</t>
        </r>
      </text>
    </comment>
    <comment ref="AD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soc. kostn. i SE och utomlands, s.36 i årsred.</t>
        </r>
      </text>
    </comment>
    <comment ref="AG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F&amp;S årsred. s.25</t>
        </r>
      </text>
    </comment>
    <comment ref="J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s.31 i IMs årsred.</t>
        </r>
      </text>
    </comment>
    <comment ref="K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IM skiljer ej på hum.bist. utv.arb. eller integrationsarb. i SE i sin årsred. s.28</t>
        </r>
      </text>
    </comment>
    <comment ref="O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 enl IM årsred. s. 36. Enl SMR årsred. uppg. till 11,589, s42 årsred.</t>
        </r>
      </text>
    </comment>
    <comment ref="X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 36 i IMs årsred.</t>
        </r>
      </text>
    </comment>
    <comment ref="Y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Lund+övr. SE, enl IMs årsred. s.36</t>
        </r>
      </text>
    </comment>
    <comment ref="AB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s.36 i IMs årsred.</t>
        </r>
      </text>
    </comment>
    <comment ref="AC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anställd i SE och utomlands</t>
        </r>
      </text>
    </comment>
    <comment ref="AG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s.28 i Ims årsred.</t>
        </r>
      </text>
    </comment>
    <comment ref="AJ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info.arb+Huvudkontorets arb. m. bistånd. s.37 i Ims årsred.  Ej lönekostnader enl. ovan, pga. se not P29.</t>
        </r>
      </text>
    </comment>
    <comment ref="A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ej på hemsida</t>
        </r>
      </text>
    </comment>
    <comment ref="J9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Enligt hemsidan usd 11,1 miljoner år 2012</t>
        </r>
      </text>
    </comment>
    <comment ref="O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enl. SMR årsred. s.42</t>
        </r>
      </text>
    </comment>
    <comment ref="K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nationell och biståndsverksam. i årsred.</t>
        </r>
      </text>
    </comment>
    <comment ref="N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 och Forum Syd, enl. KFUM årsred. s.18</t>
        </r>
      </text>
    </comment>
    <comment ref="X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medeltal, s.19 i årsred.</t>
        </r>
      </text>
    </comment>
    <comment ref="Z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se not C31</t>
        </r>
      </text>
    </comment>
    <comment ref="J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s.10 i KrFreds årsred.</t>
        </r>
      </text>
    </comment>
    <comment ref="O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Sida via SMR, Sida via SMR, s.12 i årsred.</t>
        </r>
      </text>
    </comment>
    <comment ref="P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s.12 i årsred.</t>
        </r>
      </text>
    </comment>
    <comment ref="S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"Sida direkt", s.12</t>
        </r>
      </text>
    </comment>
    <comment ref="X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i gnmsntt s.5 i KrFreds årsred.</t>
        </r>
      </text>
    </comment>
    <comment ref="Y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s.15 i KrFreds årsred.</t>
        </r>
      </text>
    </comment>
    <comment ref="AB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s.15 i KrFreds årsred.</t>
        </r>
      </text>
    </comment>
    <comment ref="AC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lön gskr+övr s.13 i KrFreds årsred.
Nej, ta andelen personal i SE över tot lön)Janne: </t>
        </r>
      </text>
    </comment>
    <comment ref="AD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arb.giv.avg. övr +arb. mrkndsfskr +skld skatt på pensionskst. s.13 i årsred.</t>
        </r>
      </text>
    </comment>
    <comment ref="AG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s.2 i KrFreds årsred.</t>
        </r>
      </text>
    </comment>
    <comment ref="AJ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löner i basverksam. +basverksam s.10 i årsred.  (777'+733')
Janne:
Nej! Basverksamhet och projektverksamhet är nte uppdelat i utland - SE!</t>
        </r>
      </text>
    </comment>
    <comment ref="AK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 s.10 i årsred.
Janne:
Se not 5: mesta dminkostnaden redovisas som basverksamhet!</t>
        </r>
      </text>
    </comment>
    <comment ref="O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s.6 i LMs årsred. samt s.42 i SMRs årsred.</t>
        </r>
      </text>
    </comment>
    <comment ref="X12" authorId="2">
      <text>
        <r>
          <rPr>
            <b/>
            <sz val="9"/>
            <color indexed="81"/>
            <rFont val="Tahoma"/>
            <family val="2"/>
          </rPr>
          <t xml:space="preserve">Jonas Klarin: </t>
        </r>
        <r>
          <rPr>
            <sz val="9"/>
            <color indexed="81"/>
            <rFont val="Tahoma"/>
            <family val="2"/>
          </rPr>
          <t>medel.</t>
        </r>
        <r>
          <rPr>
            <sz val="9"/>
            <color indexed="81"/>
            <rFont val="Tahoma"/>
            <family val="2"/>
          </rPr>
          <t xml:space="preserve">
framgår ej om verksamma i SE eller utomlands, men antas vara i SE pga så få.</t>
        </r>
      </text>
    </comment>
    <comment ref="AB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 i LMs årsred.</t>
        </r>
      </text>
    </comment>
    <comment ref="AK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 och förvaltningsavg. s.4 i LMs årsred</t>
        </r>
      </text>
    </comment>
    <comment ref="K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vad som går till forskning och vad som går till bistånd?</t>
        </r>
      </text>
    </comment>
    <comment ref="Q13" authorId="2">
      <text>
        <r>
          <rPr>
            <b/>
            <sz val="9"/>
            <color indexed="81"/>
            <rFont val="Tahoma"/>
            <family val="2"/>
          </rPr>
          <t xml:space="preserve">Jonas Klarin: </t>
        </r>
        <r>
          <rPr>
            <sz val="9"/>
            <color indexed="81"/>
            <rFont val="Tahoma"/>
            <family val="2"/>
          </rPr>
          <t>fr Sida via Kv. till kv., SE K:an, SMR och UU, enl. s.11 i LPIs årsred. antagit att dessa till 100% är fr Sida!</t>
        </r>
      </text>
    </comment>
    <comment ref="X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medel. s.13 i LPIs årsred.</t>
        </r>
      </text>
    </comment>
    <comment ref="AB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andel män i SE</t>
        </r>
      </text>
    </comment>
    <comment ref="AC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s.12 i LPIs årsred.</t>
        </r>
      </text>
    </comment>
    <comment ref="AD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 beräkn. enl. tot. soc.kost * lönekost SE andel av tot lönekost, s.12 i LPIs årsred.</t>
        </r>
      </text>
    </comment>
    <comment ref="J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s.17 i OMs årsred.</t>
        </r>
      </text>
    </comment>
    <comment ref="O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enl SMRs årsred. s.42</t>
        </r>
      </text>
    </comment>
    <comment ref="X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"inga anställda finns", s.20 i OMs årsred. </t>
        </r>
      </text>
    </comment>
    <comment ref="AC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s.20 i OMs årsred. "inga löner har utbetalats"</t>
        </r>
      </text>
    </comment>
    <comment ref="AJ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reklam och PR, resekostnader, övriga kostnader, s.20 i årsred.</t>
        </r>
      </text>
    </comment>
    <comment ref="AK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administrationskostnader s.20 i OMs årsred.</t>
        </r>
      </text>
    </comment>
    <comment ref="A1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hur mycket från SMR? </t>
        </r>
      </text>
    </comment>
    <comment ref="S1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not 3 i SKR årsred. "Sida-anslag"</t>
        </r>
      </text>
    </comment>
    <comment ref="X15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sid 1 förvaltningsberättelsen</t>
        </r>
      </text>
    </comment>
    <comment ref="AC15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Tot ink soc avg</t>
        </r>
      </text>
    </comment>
    <comment ref="AE1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25 kyrkor, s.1 förvaltningsberättelse</t>
        </r>
      </text>
    </comment>
  </commentList>
</comments>
</file>

<file path=xl/comments12.xml><?xml version="1.0" encoding="utf-8"?>
<comments xmlns="http://schemas.openxmlformats.org/spreadsheetml/2006/main">
  <authors>
    <author>Jan Pettersson</author>
    <author>Jonas</author>
    <author>Jonas Klarin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EJ FRAMGÅR I ÅR, RÄKNA ENBART SUMMAN FRÅN RAMEN SOM BIST.VERKS.
</t>
        </r>
      </text>
    </comment>
    <comment ref="L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Enligt resp. org. årsred.</t>
        </r>
      </text>
    </comment>
    <comment ref="AA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biståndsverksamhet inte särredovisas, anta samma som bitsåndsramen</t>
        </r>
      </text>
    </comment>
    <comment ref="AR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Denna är EJ heltäckande, har enbart samlats in för vissa org!
</t>
        </r>
      </text>
    </comment>
    <comment ref="AT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inte explicit verksamhet i SE angivet och OM personalkostn &gt; adminkostn: Ta bort 80% av adminkostn och ta biståndsramens andel av denna summa. Detta blit verksamhetskostnaden i Sverige</t>
        </r>
      </text>
    </comment>
    <comment ref="AV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Om ej framgår expl, beräkn enligt admin.kost* (andel bistånd/andel intäkter bist verksmht)</t>
        </r>
      </text>
    </comment>
    <comment ref="O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Sida och FS: "statsbidrag från Sida och Forum Syd", s.7 i Adoptionsc. årsred. 8,45 fr FS enl FS internt dok.</t>
        </r>
      </text>
    </comment>
    <comment ref="AD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"medel"+anställda i utlandet (cirka), s.8 i årsred.</t>
        </r>
      </text>
    </comment>
    <comment ref="AH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som andel av motsv. heltidsanställda i SE vid årsskiftet, s.8 i årsred.</t>
        </r>
      </text>
    </comment>
    <comment ref="A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medl.org. i FS. Skriver dock "Sida-anslag" i årsred. s. 8</t>
        </r>
      </text>
    </comment>
    <comment ref="O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W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medl.org. i FS. Skriver dock "Sida-anslag" i årsred. s. 8</t>
        </r>
      </text>
    </comment>
    <comment ref="AQ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"kostnader för administration har uppgått till 2% av tot intäkter", s.8</t>
        </r>
      </text>
    </comment>
    <comment ref="O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Forum Syd, s.21i E-Bs årsred. 1,686 enl FS is FS internt dok.</t>
        </r>
      </text>
    </comment>
    <comment ref="AD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s.21 i E-B årsred.</t>
        </r>
      </text>
    </comment>
    <comment ref="AH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s.21 i E-B årsred.</t>
        </r>
      </text>
    </comment>
    <comment ref="AI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s.21 i årsred.</t>
        </r>
      </text>
    </comment>
    <comment ref="AJ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s.21 i årsred.</t>
        </r>
      </text>
    </comment>
    <comment ref="A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Har kontaktats men inte svarat.</t>
        </r>
      </text>
    </comment>
    <comment ref="O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D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s.7 i årsred.</t>
        </r>
      </text>
    </comment>
    <comment ref="AI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 7 i årsred</t>
        </r>
      </text>
    </comment>
    <comment ref="AM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</t>
        </r>
      </text>
    </comment>
    <comment ref="AQ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"#adminkostn" s.4 i årsred.</t>
        </r>
      </text>
    </comment>
    <comment ref="O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Forum Syd, se årsred. s.15. 2,394 fr FS enl FS internt dok</t>
        </r>
      </text>
    </comment>
    <comment ref="AD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s.9 i årsred.</t>
        </r>
      </text>
    </comment>
    <comment ref="AM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privatpersoner + 66 organisationer, s.10 i årsred.</t>
        </r>
      </text>
    </comment>
    <comment ref="AV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adminkost ur SIDA-medel, s.12 i årsred.</t>
        </r>
      </text>
    </comment>
    <comment ref="A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J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"Sida-bidrag+egen-insatser+tidigare insamlade medel+Sidabidrag+informationsbidrag+medl.avg.+övr.intäkter" s.3 i årsred.</t>
        </r>
      </text>
    </comment>
    <comment ref="K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"Sida-bidrag+egen-insatser+tidigare insamlade medel"</t>
        </r>
      </text>
    </comment>
    <comment ref="O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dok.). 3,252170 enl. Gambiagruppernas årsred. s.3.</t>
        </r>
      </text>
    </comment>
    <comment ref="AD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 men går att läsa mellan raderna att arbetet utförs av ej avlönad styrelse samt volontärer.</t>
        </r>
      </text>
    </comment>
    <comment ref="AP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"Kostnader i SE för biståndsprojektet" s.3 i årsred</t>
        </r>
      </text>
    </comment>
    <comment ref="AQ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"admin.kost" s.3</t>
        </r>
      </text>
    </comment>
    <comment ref="O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fr.Forum Syd s.14 i årsred.</t>
        </r>
      </text>
    </comment>
    <comment ref="AD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"totalt 7 personer fördelade på 6 tjänster" s.8 i årsred., samt 8 lokalanställda, s.14</t>
        </r>
      </text>
    </comment>
    <comment ref="AH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</t>
        </r>
      </text>
    </comment>
    <comment ref="AI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"personaltjänster", troligtvis både löner och soc.avg. s.14 i årsred.</t>
        </r>
      </text>
    </comment>
    <comment ref="AP9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not 6</t>
        </r>
      </text>
    </comment>
    <comment ref="AR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"insamlingskostn." s.16 i årsred.</t>
        </r>
      </text>
    </comment>
    <comment ref="A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Har kontaktats men inte svarat.</t>
        </r>
      </text>
    </comment>
    <comment ref="O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Har kontaktats men inte svarat.</t>
        </r>
      </text>
    </comment>
    <comment ref="O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J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 i Latinamerikagruppernas årsred.</t>
        </r>
      </text>
    </comment>
    <comment ref="O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 1,948 enl Latinamerikagruppernas årsred. s.8. Även 0,075 fr Kulturrådet.</t>
        </r>
      </text>
    </comment>
    <comment ref="AD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 i årsred.</t>
        </r>
      </text>
    </comment>
    <comment ref="AE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 i årsred.</t>
        </r>
      </text>
    </comment>
    <comment ref="AH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s.9 i årsred.</t>
        </r>
      </text>
    </comment>
    <comment ref="AI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styrelse och personal i SE s.9 i årsred.</t>
        </r>
      </text>
    </comment>
    <comment ref="AM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 i årsred.</t>
        </r>
      </text>
    </comment>
    <comment ref="AQ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 s.5 i årsred.</t>
        </r>
      </text>
    </comment>
    <comment ref="AR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insamlingskostnader s. 5 i årsred.</t>
        </r>
      </text>
    </comment>
    <comment ref="A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Har kontaktats men inte svarat.</t>
        </r>
      </text>
    </comment>
    <comment ref="O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J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s.11 i årsred.</t>
        </r>
      </text>
    </comment>
    <comment ref="O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W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"Bidrag från SIDA" s.15 i årsred. på 3.415942. Samma som Forum Syd!</t>
        </r>
      </text>
    </comment>
    <comment ref="AE14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Lönekostnader netto efter AMS-bidrag (987198-628271) är för personal i butik se sid 14
</t>
        </r>
      </text>
    </comment>
    <comment ref="AI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lönekostnader täcks av AMS-bidrag</t>
        </r>
      </text>
    </comment>
    <comment ref="AQ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admin.kost. s.11</t>
        </r>
      </text>
    </comment>
    <comment ref="AT14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Enbart försäljning
</t>
        </r>
      </text>
    </comment>
    <comment ref="A1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1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dok.). 5,338 enl Svalorna I-B:s årsred. s.10</t>
        </r>
      </text>
    </comment>
    <comment ref="AD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 i Svalorna I-B:s årsred.</t>
        </r>
      </text>
    </comment>
    <comment ref="AF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1 verksamhetsledare, 0,75 kommunikatör, 0,5 ekonom, 0,5 administratör. s.2 i Sv. I-B årsred.</t>
        </r>
      </text>
    </comment>
    <comment ref="AI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</t>
        </r>
      </text>
    </comment>
    <comment ref="AP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praktikanter+ind.kostn.SE+information s.10 i Svalorna IB:s årsred.</t>
        </r>
      </text>
    </comment>
    <comment ref="AR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insamlingskostnader s.10 i Svalorna I-B:s årsred.</t>
        </r>
      </text>
    </comment>
    <comment ref="O1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D1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</t>
        </r>
      </text>
    </comment>
    <comment ref="AI1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</t>
        </r>
      </text>
    </comment>
    <comment ref="AM1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s.16 i Svalorna Latinamerikas årsred.</t>
        </r>
      </text>
    </comment>
    <comment ref="AQ1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administrationskost s.17 i hungerprojektet.</t>
        </r>
      </text>
    </comment>
    <comment ref="AR1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insamlingskostnader s.17 i årsred.</t>
        </r>
      </text>
    </comment>
    <comment ref="F1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ej ram org men har fått stöd inom ramen för regerings satsningar på barn och ungdomars rätt till hälsa och utbildning. se not 3 Sidas årsred. s.196</t>
        </r>
      </text>
    </comment>
    <comment ref="O1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Forum Syd</t>
        </r>
      </text>
    </comment>
    <comment ref="S1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11,0 (totalt!) enligt Sidas årsred.?? S.195-196</t>
        </r>
      </text>
    </comment>
    <comment ref="W1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Mottaget 123,882. kostndr om 162,961, täcks med fonderade medel. S.63</t>
        </r>
      </text>
    </comment>
    <comment ref="X18" authorId="1">
      <text>
        <r>
          <rPr>
            <b/>
            <sz val="9"/>
            <color indexed="81"/>
            <rFont val="Arial"/>
            <family val="2"/>
          </rPr>
          <t xml:space="preserve">Jonas: </t>
        </r>
        <r>
          <rPr>
            <sz val="9"/>
            <color indexed="81"/>
            <rFont val="Arial"/>
            <family val="2"/>
          </rPr>
          <t xml:space="preserve">ej ramorg. Men fått stöd för regeringens satsning på barns rätt till hälsa s.196 i Sidas årsred.
</t>
        </r>
      </text>
    </comment>
    <comment ref="AE1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Medeltal</t>
        </r>
      </text>
    </comment>
    <comment ref="AI18" authorId="1">
      <text>
        <r>
          <rPr>
            <b/>
            <sz val="9"/>
            <color indexed="81"/>
            <rFont val="Arial"/>
            <family val="2"/>
          </rPr>
          <t xml:space="preserve">Jonas:
</t>
        </r>
        <r>
          <rPr>
            <sz val="9"/>
            <color indexed="81"/>
            <rFont val="Arial"/>
            <family val="2"/>
          </rPr>
          <t>"Löner och andra ersättningar i SE" s.66 i SAK:s årsred.</t>
        </r>
      </text>
    </comment>
    <comment ref="AM1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s.37 i SAK:s årsred.</t>
        </r>
      </text>
    </comment>
    <comment ref="AP1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info i SE s.61-62</t>
        </r>
      </text>
    </comment>
    <comment ref="AR1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insamliingskostnader s.58</t>
        </r>
      </text>
    </comment>
    <comment ref="AV1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specificerat enl SAK:s årsred. s.62.</t>
        </r>
      </text>
    </comment>
    <comment ref="L19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3.202 enligt årsredovisningen
</t>
        </r>
      </text>
    </comment>
    <comment ref="O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T19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Adminkostnaderna exklusive personal!
</t>
        </r>
      </text>
    </comment>
    <comment ref="O2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W20" authorId="2">
      <text>
        <r>
          <rPr>
            <b/>
            <sz val="9"/>
            <color indexed="81"/>
            <rFont val="Tahoma"/>
            <family val="2"/>
          </rPr>
          <t>Janne:
Redovisar 18.517162 från "Sida samt Forum Syd"
 i not 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2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medeltal anställda + styrelse s.8 i årsred.</t>
        </r>
      </text>
    </comment>
    <comment ref="AI2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AM2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 i årsred.</t>
        </r>
      </text>
    </comment>
    <comment ref="AQ2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"resor,kost och logi+kontorsomkostnader+lokalkostnader" s.6 i årsred.</t>
        </r>
      </text>
    </comment>
    <comment ref="O2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 (1,283 enl SE Freds årsred.) + SI Moldavien
1.383+0.0997</t>
        </r>
      </text>
    </comment>
    <comment ref="Q2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FBA s.28 i årsred.</t>
        </r>
      </text>
    </comment>
    <comment ref="W2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"Sida projektbidrag" s.28 i årsred.</t>
        </r>
      </text>
    </comment>
    <comment ref="AD2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s.29 i årsred.</t>
        </r>
      </text>
    </comment>
    <comment ref="AI2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s.29 i årsred.</t>
        </r>
      </text>
    </comment>
    <comment ref="AM2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s.19 i årsred.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Redovisningen avser enbart Tumainiprojektet!</t>
        </r>
      </text>
    </comment>
    <comment ref="O2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
1.245
1345 enligt ÅR</t>
        </r>
      </text>
    </comment>
  </commentList>
</comments>
</file>

<file path=xl/comments13.xml><?xml version="1.0" encoding="utf-8"?>
<comments xmlns="http://schemas.openxmlformats.org/spreadsheetml/2006/main">
  <authors>
    <author>Jan Pettersson</author>
    <author>Jonas</author>
    <author>Jonas Klarin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EJ FRAMGÅR I ÅR, RÄKNA ENBART SUMMAN FRÅN RAMEN SOM BIST.VERKS.
</t>
        </r>
      </text>
    </comment>
    <comment ref="L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Enligt resp. org. årsred.</t>
        </r>
      </text>
    </comment>
    <comment ref="AA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biståndsverksamhet inte särredovisas, anta samma som bitsåndsramen</t>
        </r>
      </text>
    </comment>
    <comment ref="AR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inte explicit verksamhet i SE angivet och OM personalkostn &gt; adminkostn: Ta bort 80% av adminkostn och ta biståndsramens andel av denna summa. Detta blit verksamhetskostnaden i Sverige</t>
        </r>
      </text>
    </comment>
    <comment ref="AT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Om ej framgår expl, beräkn enligt admin.kost* (andel bistånd/andel intäkter bist verksmht)</t>
        </r>
      </text>
    </comment>
    <comment ref="A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Är dock PAO och får SIDA-stöd.</t>
        </r>
      </text>
    </comment>
    <comment ref="A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Är dock PAO och får SIDA-stöd.</t>
        </r>
      </text>
    </comment>
    <comment ref="A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Är dock PAO och får SIDA-stöd.</t>
        </r>
      </text>
    </comment>
    <comment ref="A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Är dock PAO och får SIDA-stöd.</t>
        </r>
      </text>
    </comment>
    <comment ref="O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 0.463</t>
        </r>
      </text>
    </comment>
    <comment ref="A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Samma som "Vänsterns Internationella Forum"?
årsred. finns ej på hemsida. Är dock PAO och får SIDA-stöd.</t>
        </r>
      </text>
    </comment>
    <comment ref="AR7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Adminkostn angivet exkl lönekostn</t>
        </r>
      </text>
    </comment>
  </commentList>
</comments>
</file>

<file path=xl/comments14.xml><?xml version="1.0" encoding="utf-8"?>
<comments xmlns="http://schemas.openxmlformats.org/spreadsheetml/2006/main">
  <authors>
    <author>Jan Pettersson</author>
    <author>Jonas</author>
    <author>Jonas Klarin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EJ FRAMGÅR I ÅR, RÄKNA ENBART SUMMAN FRÅN RAMEN SOM BIST.VERKS.
</t>
        </r>
      </text>
    </comment>
    <comment ref="L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Enligt resp. org. årsred.</t>
        </r>
      </text>
    </comment>
    <comment ref="Z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biståndsverksamhet inte särredovisas, anta samma som bitsåndsramen</t>
        </r>
      </text>
    </comment>
    <comment ref="AQ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inte explicit verksamhet i SE angivet och OM personalkostn &gt; adminkostn: Ta bort 80% av adminkostn och ta biståndsramens andel av denna summa. Detta blit verksamhetskostnaden i Sverige</t>
        </r>
      </text>
    </comment>
    <comment ref="AS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Om ej framgår expl, beräkn enligt admin.kost* (andel bistånd/andel intäkter bist verksmht)</t>
        </r>
      </text>
    </comment>
    <comment ref="AD2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gnmsnitt</t>
        </r>
      </text>
    </comment>
    <comment ref="AG2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i gnmsnitt i SE</t>
        </r>
      </text>
    </comment>
    <comment ref="AH2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anställda i SE inkl styrelse och kanslichef</t>
        </r>
      </text>
    </comment>
    <comment ref="AO2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beräkn. fotoprojekt.+praktikanter s.19 (ignor övr småposter)</t>
        </r>
      </text>
    </comment>
    <comment ref="AS2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Framgår expl i årsred. S.19, dock enbart kostn. på 2359 till admin.</t>
        </r>
      </text>
    </comment>
    <comment ref="AC3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"Medeltal uttryckt som helårsarbeten"</t>
        </r>
      </text>
    </comment>
    <comment ref="AF3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Hur hantera anställda för insamling? Ta ODA-andelen av totala intäkter.</t>
        </r>
      </text>
    </comment>
    <comment ref="AI3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Ink penskostn
</t>
        </r>
      </text>
    </comment>
    <comment ref="AK3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Ombud, iddeellt arbete</t>
        </r>
      </text>
    </comment>
    <comment ref="AR3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Explicit angivet sid 35 som verksamhet i SE fin med bistånd.</t>
        </r>
      </text>
    </comment>
    <comment ref="Q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SE myndigheter, ambassader (ej Sida?), s.39 i FS årsred.</t>
        </r>
      </text>
    </comment>
    <comment ref="R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rambidrag syd+rambidrag reformarbete, s.38 i FS årsred.</t>
        </r>
      </text>
    </comment>
    <comment ref="S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s.38 i FS årsred.</t>
        </r>
      </text>
    </comment>
    <comment ref="U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s.38 i årsred.</t>
        </r>
      </text>
    </comment>
    <comment ref="W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s.196 i Sidas årsred.</t>
        </r>
      </text>
    </comment>
    <comment ref="X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s.196 i Sidas årsred.</t>
        </r>
      </text>
    </comment>
    <comment ref="Y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s.29 i FS årsred.</t>
        </r>
      </text>
    </comment>
    <comment ref="AC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s.39 i FS årsred.</t>
        </r>
      </text>
    </comment>
    <comment ref="AH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s.39 i FS årsred.</t>
        </r>
      </text>
    </comment>
    <comment ref="AI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s.39 i FS årsred. beräkn enl. tot. soc.kost. *SE andel lönekost av tot lönekost.</t>
        </r>
      </text>
    </comment>
    <comment ref="R5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s.14 i årsred.</t>
        </r>
      </text>
    </comment>
    <comment ref="AC5" authorId="1">
      <text>
        <r>
          <rPr>
            <i/>
            <sz val="12"/>
            <color indexed="23"/>
            <rFont val="Arial"/>
            <family val="2"/>
          </rPr>
          <t>Jonas:
Medeltal, varav 5,0 är projektanställda.</t>
        </r>
      </text>
    </comment>
    <comment ref="AJ5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LO och TCO</t>
        </r>
      </text>
    </comment>
    <comment ref="AP5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s.15 i årsred. Framgår ej hur admin finansieras</t>
        </r>
      </text>
    </comment>
    <comment ref="R6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Inkl bidrag för vidareförmedling 2.2</t>
        </r>
      </text>
    </comment>
    <comment ref="Y6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Bidrag för vidareförmedling</t>
        </r>
      </text>
    </comment>
    <comment ref="AP6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13490-kostnade för landkontor utomlands (exklusive personalkostnader)</t>
        </r>
      </text>
    </comment>
    <comment ref="J7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Tot-överförda från 2012+överförda till 2014, s.8 i årsred.</t>
        </r>
      </text>
    </comment>
    <comment ref="V7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131,917818 enligt OPC årsred. S.8</t>
        </r>
      </text>
    </comment>
    <comment ref="AC7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Medeltal.</t>
        </r>
      </text>
    </comment>
    <comment ref="AJ7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Medlemsorg.</t>
        </r>
      </text>
    </comment>
    <comment ref="AS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administrationskostnader s.8 i OPC årsred</t>
        </r>
      </text>
    </comment>
    <comment ref="L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123,370 enligt Sidas årsred.</t>
        </r>
      </text>
    </comment>
    <comment ref="R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s.31 i PLAN:s årsred. 77,916 enligt Sidas årsred.</t>
        </r>
      </text>
    </comment>
    <comment ref="S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s.32 i PLAN:s årsred. 1,159 enligt Sidas årsred.</t>
        </r>
      </text>
    </comment>
    <comment ref="U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Beräkn. Total Sida-anslag fr s. 39: 117,9-86,9-1. 44,295 enligt Sidas årsred.</t>
        </r>
      </text>
    </comment>
    <comment ref="AC8" authorId="1">
      <text>
        <r>
          <rPr>
            <sz val="8"/>
            <color indexed="23"/>
            <rFont val="Arial"/>
            <family val="2"/>
          </rPr>
          <t>sid 54: Medelantalet anställda har beräknats med utgångspunkt från en årsarbetstid på
1 950 timmar/år.</t>
        </r>
      </text>
    </comment>
    <comment ref="AK8" authorId="1">
      <text>
        <r>
          <rPr>
            <sz val="9"/>
            <color indexed="81"/>
            <rFont val="Arial"/>
            <family val="2"/>
          </rPr>
          <t>200 volontärer</t>
        </r>
      </text>
    </comment>
    <comment ref="AP8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"Moderstiftelsen" s.39</t>
        </r>
      </text>
    </comment>
    <comment ref="J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Pingst FFF:s årsber. s.9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Årsber, sid 8</t>
        </r>
      </text>
    </comment>
    <comment ref="R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årsber.</t>
        </r>
      </text>
    </comment>
    <comment ref="S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årsber.</t>
        </r>
      </text>
    </comment>
    <comment ref="AC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"får ej ha anställda" enl. pingströrelsens årsred. där PMU ingår, s.7 i årsred. (JP: ???)
</t>
        </r>
      </text>
    </comment>
    <comment ref="AD9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Framgår ej om enbart Sverige</t>
        </r>
      </text>
    </comment>
    <comment ref="J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K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</t>
        </r>
      </text>
    </comment>
    <comment ref="V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RFSU:s årsred.</t>
        </r>
      </text>
    </comment>
    <comment ref="AC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s.15 i årsred.
Janne: Moderföreningen, ej koncernen!</t>
        </r>
      </text>
    </comment>
    <comment ref="AH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s.15 i årsred. vet dock ej hur stor andel som arbetar i SE</t>
        </r>
      </text>
    </comment>
    <comment ref="AI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s.15 i årsred. vet dock ej hur stor andel som arbetar i SE</t>
        </r>
      </text>
    </comment>
    <comment ref="AL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frmgår ej av årsred.
Anser 8 oktober 2014. Sannolik underskattning: tot antal 2013 ink organisationer: 3589 st enl Julia.</t>
        </r>
      </text>
    </comment>
    <comment ref="AP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 "administrationskostnader"</t>
        </r>
      </text>
    </comment>
    <comment ref="K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Skiljer ej på biståndsvrksmht och vrksmht i SE. Se s. 28 i RB årsred.</t>
        </r>
      </text>
    </comment>
    <comment ref="AC1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272 anställda + 433 lokalt anställda</t>
        </r>
      </text>
    </comment>
    <comment ref="AI1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Ink pensionskostnader</t>
        </r>
      </text>
    </comment>
    <comment ref="AL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AP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s.32 i Rädda barnens årsred.</t>
        </r>
      </text>
    </comment>
    <comment ref="J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s.58 i SE K:ans årsred.</t>
        </r>
      </text>
    </comment>
    <comment ref="K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diagram 3 i SE K:ans årsred. s. 52</t>
        </r>
      </text>
    </comment>
    <comment ref="AC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s.66 i årsred.</t>
        </r>
      </text>
    </comment>
    <comment ref="AH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s.65 i årsred.</t>
        </r>
      </text>
    </comment>
    <comment ref="AL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L13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Enligt Sidas årsred.</t>
        </r>
      </text>
    </comment>
    <comment ref="V13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141,875 enligt SE Missionsrådets årsred. ("anslag från Sida") S.41</t>
        </r>
      </text>
    </comment>
    <comment ref="Y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s.42 i SMRs årsred.</t>
        </r>
      </text>
    </comment>
    <comment ref="AJ13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34 medl. (kyrkor, samfund mm)</t>
        </r>
      </text>
    </comment>
    <comment ref="AO13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"övr.ext.kstnd" s.39, framgår ej om ur biståndsram.</t>
        </r>
      </text>
    </comment>
    <comment ref="AS13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Framgår expl. S.41 i SMRs årsred.</t>
        </r>
      </text>
    </comment>
    <comment ref="J14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s.6 i årsred</t>
        </r>
      </text>
    </comment>
    <comment ref="K14" authorId="1">
      <text>
        <r>
          <rPr>
            <b/>
            <sz val="9"/>
            <color indexed="81"/>
            <rFont val="Arial"/>
            <family val="2"/>
          </rPr>
          <t>Janne:</t>
        </r>
        <r>
          <rPr>
            <sz val="9"/>
            <color indexed="81"/>
            <rFont val="Arial"/>
            <family val="2"/>
          </rPr>
          <t xml:space="preserve">
"Internationell verksamhet" s.6 i årsred/not 5 = 59.457
+ insamlade metel "skog i nord och syd" enligt not 2</t>
        </r>
      </text>
    </comment>
    <comment ref="L14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59,639 enligt SE Naturskyddsföreningen årsred. s.14</t>
        </r>
      </text>
    </comment>
    <comment ref="V14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årsred. s.14</t>
        </r>
      </text>
    </comment>
    <comment ref="AC14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Medeltal. S.18
Beräknat på normal årsarbetstid om 1860 timmar</t>
        </r>
      </text>
    </comment>
    <comment ref="AE14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Framgår ej.</t>
        </r>
      </text>
    </comment>
    <comment ref="AG14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s.18 i årsred.</t>
        </r>
      </text>
    </comment>
    <comment ref="AH14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s.17 i årsred.</t>
        </r>
      </text>
    </comment>
    <comment ref="AI14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s.18 i årsred.</t>
        </r>
      </text>
    </comment>
    <comment ref="AK14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sid 18</t>
        </r>
      </text>
    </comment>
    <comment ref="AL14" authorId="1">
      <text>
        <r>
          <rPr>
            <i/>
            <sz val="12"/>
            <color indexed="23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s.1 i Naturskydds-föreningens årsred.</t>
        </r>
      </text>
    </comment>
    <comment ref="R15" authorId="1">
      <text>
        <r>
          <rPr>
            <b/>
            <sz val="9"/>
            <color indexed="81"/>
            <rFont val="Arial"/>
            <family val="2"/>
          </rPr>
          <t>Jonas:
153,760 i Sidas årsred.</t>
        </r>
      </text>
    </comment>
    <comment ref="T15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Summerat posterna 2-7 i WE Effects årsberättelse,
"Sida Maputu, Sida Harare etc"</t>
        </r>
      </text>
    </comment>
    <comment ref="U15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Sida Global BBE, s.14 i WE Effects årsred.</t>
        </r>
      </text>
    </comment>
    <comment ref="Y1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Vi-skogen, s.14 i WE Effects årsred.</t>
        </r>
      </text>
    </comment>
    <comment ref="AC15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"Medelantalet"</t>
        </r>
      </text>
    </comment>
    <comment ref="AI15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ink pens</t>
        </r>
      </text>
    </comment>
    <comment ref="AO15" authorId="1">
      <text>
        <r>
          <rPr>
            <u/>
            <sz val="11"/>
            <color indexed="12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Insamlings-, produktfrsljnngs- och övr. verksamhetskostnader. Framgår ej om ur biståndsram (10.96113) + Opinionsbildande verksamhet i Sverige (17.668079)
</t>
        </r>
      </text>
    </comment>
    <comment ref="AP15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Administrationskstndr, s.10 i verksmhtsberättelse, framgår ej om bist.ram</t>
        </r>
      </text>
    </comment>
    <comment ref="J16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s.29 i årsred.</t>
        </r>
      </text>
    </comment>
    <comment ref="K16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Framgår ej av årsred.</t>
        </r>
      </text>
    </comment>
    <comment ref="V16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Sida anslag 2013 65,8 enligt WWF årsred. S.12</t>
        </r>
      </text>
    </comment>
    <comment ref="AC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 i årsred.</t>
        </r>
      </text>
    </comment>
    <comment ref="AG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s.34 i årsed.</t>
        </r>
      </text>
    </comment>
    <comment ref="AH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s.35 i årsred.</t>
        </r>
      </text>
    </comment>
    <comment ref="AL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
Cirka 159' supportrar enligt hemsidan...</t>
        </r>
      </text>
    </comment>
    <comment ref="AP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administrationskostnader s. 23</t>
        </r>
      </text>
    </comment>
  </commentList>
</comments>
</file>

<file path=xl/comments15.xml><?xml version="1.0" encoding="utf-8"?>
<comments xmlns="http://schemas.openxmlformats.org/spreadsheetml/2006/main">
  <authors>
    <author>Jonas</author>
  </authors>
  <commentList>
    <comment ref="J1" authorId="0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Enligt resp. org. årsred.</t>
        </r>
      </text>
    </comment>
  </commentList>
</comments>
</file>

<file path=xl/comments16.xml><?xml version="1.0" encoding="utf-8"?>
<comments xmlns="http://schemas.openxmlformats.org/spreadsheetml/2006/main">
  <authors>
    <author>Janne</author>
  </authors>
  <commentList>
    <comment ref="F1" authorId="0">
      <text>
        <r>
          <rPr>
            <b/>
            <sz val="9"/>
            <color indexed="81"/>
            <rFont val="Tahoma"/>
            <family val="2"/>
          </rPr>
          <t xml:space="preserve">Janne:
</t>
        </r>
        <r>
          <rPr>
            <sz val="9"/>
            <color indexed="81"/>
            <rFont val="Tahoma"/>
            <family val="2"/>
          </rPr>
          <t>I vissa fall är 100 procent angivet men med lägre lön - således används ibland finansiering från annat håll för arbete med projektet. Tex för friköp av undervisningsplikt för doktorander.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" authorId="0">
      <text>
        <r>
          <rPr>
            <b/>
            <sz val="9"/>
            <color indexed="81"/>
            <rFont val="Tahoma"/>
            <family val="2"/>
          </rPr>
          <t>Janne:</t>
        </r>
        <r>
          <rPr>
            <sz val="9"/>
            <color indexed="81"/>
            <rFont val="Tahoma"/>
            <family val="2"/>
          </rPr>
          <t xml:space="preserve">
I fall med enbart "travel", och detta avser både utresande forskare och mottagande av forskare,
 antag att 50% går utomlands.</t>
        </r>
      </text>
    </comment>
    <comment ref="N1" authorId="0">
      <text>
        <r>
          <rPr>
            <b/>
            <sz val="9"/>
            <color indexed="81"/>
            <rFont val="Tahoma"/>
            <family val="2"/>
          </rPr>
          <t xml:space="preserve">Janne:
</t>
        </r>
        <r>
          <rPr>
            <sz val="9"/>
            <color indexed="81"/>
            <rFont val="Tahoma"/>
            <family val="2"/>
          </rPr>
          <t>I vissa fall är 100 procent angivet men med lägre lön - således används ibland finansiering från annat håll för arbete med projektet. Tex för friköp av undervisningsplikt för doktorander.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" authorId="0">
      <text>
        <r>
          <rPr>
            <b/>
            <sz val="9"/>
            <color indexed="81"/>
            <rFont val="Tahoma"/>
            <family val="2"/>
          </rPr>
          <t>Janne:</t>
        </r>
        <r>
          <rPr>
            <sz val="9"/>
            <color indexed="81"/>
            <rFont val="Tahoma"/>
            <family val="2"/>
          </rPr>
          <t xml:space="preserve">
I fall med enbart "travel", och detta avser både utresande forskare och mottagande av forskare,
 antag att 50% går utomlands.</t>
        </r>
      </text>
    </comment>
  </commentList>
</comments>
</file>

<file path=xl/comments17.xml><?xml version="1.0" encoding="utf-8"?>
<comments xmlns="http://schemas.openxmlformats.org/spreadsheetml/2006/main">
  <authors>
    <author>Jan Pettersson</author>
    <author>Jonas Klarin</author>
  </authors>
  <commentList>
    <comment ref="E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Räkna bort 22 miljoner för 2/3 av ISP-stöd!</t>
        </r>
      </text>
    </comment>
    <comment ref="L9" authorId="0">
      <text>
        <r>
          <rPr>
            <b/>
            <sz val="9"/>
            <color indexed="81"/>
            <rFont val="Tahoma"/>
            <family val="2"/>
          </rPr>
          <t>Jan Pettersson:
Se edu utrakningar</t>
        </r>
      </text>
    </comment>
    <comment ref="B15" authorId="1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s,57 i årsred.</t>
        </r>
      </text>
    </comment>
  </commentList>
</comments>
</file>

<file path=xl/comments18.xml><?xml version="1.0" encoding="utf-8"?>
<comments xmlns="http://schemas.openxmlformats.org/spreadsheetml/2006/main">
  <authors>
    <author>Jonas Klarin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fr Sidas 73-konto om ej annat anges</t>
        </r>
      </text>
    </comment>
    <comment ref="B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ägs till 100% av svenska staten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 i årsred.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enl ICLD, s.7 i årsred.
69.085 enligt Sida konto 734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J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s.30 i årsred.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s.29 i årsred.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sammanslaget med SP Svenskt Provnings- och Forskningsinstitut</t>
        </r>
      </text>
    </comment>
    <comment ref="B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Svenska staten äger 100% av aktierna i SP.</t>
        </r>
      </text>
    </comment>
    <comment ref="D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s.42 i årsred.</t>
        </r>
      </text>
    </comment>
    <comment ref="K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s.29 i årsred.</t>
        </r>
      </text>
    </comment>
  </commentList>
</comments>
</file>

<file path=xl/comments19.xml><?xml version="1.0" encoding="utf-8"?>
<comments xmlns="http://schemas.openxmlformats.org/spreadsheetml/2006/main">
  <authors>
    <author>Jonas Klarin</author>
    <author>Jan Pettersson</author>
  </authors>
  <commentList>
    <comment ref="C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fr Sidas 73-konto om ej annat anges</t>
        </r>
      </text>
    </comment>
    <comment ref="D2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Antag enbart adminkostnad på 8 procent. Lågt, men svårt bedöma hur stor del av verksamheten som är förlagd i utlandet. </t>
        </r>
      </text>
    </comment>
    <comment ref="B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s.55 i årsred.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s.62 i årsred.</t>
        </r>
      </text>
    </comment>
    <comment ref="B11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För verksamheten, ej för vidareförmedling
</t>
        </r>
      </text>
    </comment>
    <comment ref="C11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För verksamheten, ej för vidareförmedling
</t>
        </r>
      </text>
    </comment>
    <comment ref="S11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Lämnade bidrag inom Sida-finansierade programmet MFS
22 268 (23 800 beviljat enl beslut från hemsdian)
Lämnade bidrag inom Sida-finansierade programmet Linnaeus-Palme
40 738 (41 776 beviljat enligt beslut från hemsidan)
Lämnade bidrag inom Sida-finansierade forskarprogrammet
9 704
Lämnade bidrag inom Sida-finansierade praktikprogrammet
19 579 (19 753 440 enligt hemsidan)
Lämnade bidrag inom Sida-finansierade programmet Athena
9 291
Lämnade bidrag inom Sida-finansierade Resestipendier
3 630</t>
        </r>
      </text>
    </comment>
    <comment ref="B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s.15 i årsred.</t>
        </r>
      </text>
    </comment>
    <comment ref="B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s.42 i årsred.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s.48 i årsred.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s.48 i årsred.</t>
        </r>
      </text>
    </comment>
    <comment ref="Q19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Snittkostnad per åa i hela PRV
</t>
        </r>
      </text>
    </comment>
    <comment ref="G2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antagande</t>
        </r>
      </text>
    </comment>
    <comment ref="H2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 29 i årsred.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s.41 i årsred.</t>
        </r>
      </text>
    </comment>
    <comment ref="B2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s.114 i årsred.</t>
        </r>
      </text>
    </comment>
    <comment ref="H2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s.73 i årsred.</t>
        </r>
      </text>
    </comment>
  </commentList>
</comments>
</file>

<file path=xl/comments2.xml><?xml version="1.0" encoding="utf-8"?>
<comments xmlns="http://schemas.openxmlformats.org/spreadsheetml/2006/main">
  <authors>
    <author>Jonas Klarin</author>
    <author>Jan Pettersson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fr Sidas 73-konto om ej annat anges</t>
        </r>
      </text>
    </comment>
    <comment ref="A9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Ingen redovisning på hemsidan
</t>
        </r>
      </text>
    </comment>
  </commentList>
</comments>
</file>

<file path=xl/comments3.xml><?xml version="1.0" encoding="utf-8"?>
<comments xmlns="http://schemas.openxmlformats.org/spreadsheetml/2006/main">
  <authors>
    <author>Jonas Klarin</author>
    <author>Jan Pettersson</author>
  </authors>
  <commentList>
    <comment ref="E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fr Sidas 73-konto om ej annat anges</t>
        </r>
      </text>
    </comment>
    <comment ref="D2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räknsa på 9 kr per euro
</t>
        </r>
      </text>
    </comment>
    <comment ref="P2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Räkna på stockholmsstationerade andelen * totala personalkostnaden</t>
        </r>
      </text>
    </comment>
    <comment ref="A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för 2013 på hemsidan, dock för 2012.
2012 kom 91% av stödert från Sida. Utgår från stöd 2013 och räkna baklänges.</t>
        </r>
      </text>
    </comment>
    <comment ref="D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 i årsred.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s.11 i årsred.</t>
        </r>
      </text>
    </comment>
    <comment ref="J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s.11 i årsred.</t>
        </r>
      </text>
    </comment>
    <comment ref="K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 SE, s.11 i årsred.</t>
        </r>
      </text>
    </comment>
    <comment ref="P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salaries and other remunerations, s.11 i årsred.</t>
        </r>
      </text>
    </comment>
    <comment ref="Q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ingår i O7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NIR är en en intresseförening för näringslivet som ibland "samarbetar med Sida och därmed få extern finansiering för olika projekt". 10-19 anst. 20-49 tkr i oms. enl allabolag.se.
Har mejlat CEO.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I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uppg. fr hemsidan http://www.sis.se/innehall/om-sis/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antagande ty framgår ej.</t>
        </r>
      </text>
    </comment>
    <comment ref="P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"personalkostnader"</t>
        </r>
      </text>
    </comment>
    <comment ref="Q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ingår i O11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hemsida.</t>
        </r>
      </text>
    </comment>
    <comment ref="D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s.26 i årsred.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s.29 i årsred.</t>
        </r>
      </text>
    </comment>
    <comment ref="P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s.29 i årsred.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1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 50 i årsred.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s.49 i årsred. omräkn. till helårstjänster.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7 st anställda i Beijing, se s.58 i årsred.</t>
        </r>
      </text>
    </comment>
    <comment ref="P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personalkostn. i SE och Kina. Detta är en uppskattning (genomsnittlig lön*antalet anställda i SE) se s.58 i årsred.</t>
        </r>
      </text>
    </comment>
    <comment ref="Q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Skiljer ej på personalkostn. i SE och Kina. Detta är en uppskattning (genomsnittlig lön*antalet anställda i SE) se s.58 i årsred.</t>
        </r>
      </text>
    </comment>
    <comment ref="V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se s.59 i årsred.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sammanslagen med Chalmers Industriteknik</t>
        </r>
      </text>
    </comment>
    <comment ref="D2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s.68 i årsred.</t>
        </r>
      </text>
    </comment>
    <comment ref="I2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antal anställda i koncernen totalt s.72</t>
        </r>
      </text>
    </comment>
    <comment ref="K2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s.72 i årsred.</t>
        </r>
      </text>
    </comment>
    <comment ref="P2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"koncernen totalt" s.72 i årsred.</t>
        </r>
      </text>
    </comment>
    <comment ref="D2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s.32 i årsred.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"medel"</t>
        </r>
      </text>
    </comment>
    <comment ref="P2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s.35 i årsred.</t>
        </r>
      </text>
    </comment>
    <comment ref="Q2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s.35 i årsred.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 i årsred.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s.50 i årsred.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s.57 i årsred.</t>
        </r>
      </text>
    </comment>
    <comment ref="P2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s.57 i årsred.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s.30 i årsred.</t>
        </r>
      </text>
    </comment>
    <comment ref="I2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heltidsanställda+visstidsanställda</t>
        </r>
      </text>
    </comment>
    <comment ref="P2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tillsv.+visst.anställda s.34 i årsred.</t>
        </r>
      </text>
    </comment>
    <comment ref="Q2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tillsv.+visst.anställda s.34 i årsred.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årsred.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s.13 i årsred.</t>
        </r>
      </text>
    </comment>
    <comment ref="J2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s.13 i årsred.</t>
        </r>
      </text>
    </comment>
    <comment ref="P2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 "Personalkostnader"</t>
        </r>
      </text>
    </comment>
    <comment ref="Q2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ingår i O28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Om detsamma som Scandinavian Care Company, ej årsred. på hemsida. Janne: En stiftelse skapad av SC 2011</t>
        </r>
      </text>
    </comment>
    <comment ref="A3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D3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s.42 i årsred.</t>
        </r>
      </text>
    </comment>
    <comment ref="I3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s.44 i årsred.</t>
        </r>
      </text>
    </comment>
    <comment ref="P3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s.45 i årsred.</t>
        </r>
      </text>
    </comment>
    <comment ref="Q3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s.45 i årsred.</t>
        </r>
      </text>
    </comment>
  </commentList>
</comments>
</file>

<file path=xl/comments4.xml><?xml version="1.0" encoding="utf-8"?>
<comments xmlns="http://schemas.openxmlformats.org/spreadsheetml/2006/main">
  <authors>
    <author>Jonas Klarin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fr. dokument fr. Sida (summa av 73- och 75-konton), förutom Forum Syd som end. är 75.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hemsidan. Allabolag.se har inte fått ngn årsredovisning.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Enl. Allabolag.se &lt;1 tkr i omsättning 2013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Enmansföretag.Enl. Allabolag.se 1-49 tkr i omstättning för 2013.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Enl. Allabolag.se kommanditbolag m. 100-199 tkr i oms.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Enl. Allabolag.se ingen F-skattesedel.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G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s.62 i årsred.</t>
        </r>
      </text>
    </comment>
  </commentList>
</comments>
</file>

<file path=xl/comments5.xml><?xml version="1.0" encoding="utf-8"?>
<comments xmlns="http://schemas.openxmlformats.org/spreadsheetml/2006/main">
  <authors>
    <author>Jonas Klarin</author>
  </authors>
  <commentList>
    <comment ref="H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fr. dokument fr. Sida (summa av 73- och 75-konton), förutom Forum Syd som end. är 75.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</commentList>
</comments>
</file>

<file path=xl/comments6.xml><?xml version="1.0" encoding="utf-8"?>
<comments xmlns="http://schemas.openxmlformats.org/spreadsheetml/2006/main">
  <authors>
    <author>Jonas Klarin</author>
    <author>Jan Pettersson</author>
  </authors>
  <commentList>
    <comment ref="G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fr. dokument fr. Sida (summa av 73- och 75-konton), förutom Forum Syd som end. är 75.</t>
        </r>
      </text>
    </comment>
    <comment ref="A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Data inhämtad från årsred. insamlad efter kontakt.</t>
        </r>
      </text>
    </comment>
    <comment ref="F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 i årsred. Nettooms. i SE: 117,074 Mkr.</t>
        </r>
      </text>
    </comment>
    <comment ref="I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"medel"</t>
        </r>
      </text>
    </comment>
    <comment ref="N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 i årsred.</t>
        </r>
      </text>
    </comment>
    <comment ref="R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s.10 i årsred.</t>
        </r>
      </text>
    </comment>
    <comment ref="A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gäller för det brutna räkenskapsåret 1 juli 2012 - 30 juni 2013.</t>
        </r>
      </text>
    </comment>
    <comment ref="I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 i årsred.</t>
        </r>
      </text>
    </comment>
    <comment ref="K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s.16 i årsred.</t>
        </r>
      </text>
    </comment>
    <comment ref="R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s.16 i årsred.</t>
        </r>
      </text>
    </comment>
    <comment ref="S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s.16 i årsred.</t>
        </r>
      </text>
    </comment>
    <comment ref="V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s.12 i årsred.</t>
        </r>
      </text>
    </comment>
    <comment ref="A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Data från årsred. insamlad efter kontakt.</t>
        </r>
      </text>
    </comment>
    <comment ref="F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 i årsred.</t>
        </r>
      </text>
    </comment>
    <comment ref="I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 i årsred.</t>
        </r>
      </text>
    </comment>
    <comment ref="R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 i årsred.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Grontmij "International" upphör 2013 gnm fusion (med Grontmij  AB?). Data här avser "Grontmij AB" från årsred. som insamlats efter kontakt.</t>
        </r>
      </text>
    </comment>
    <comment ref="I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s.11 i årsred. "medel"</t>
        </r>
      </text>
    </comment>
    <comment ref="R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s.11 i årsred.</t>
        </r>
      </text>
    </comment>
    <comment ref="S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s.11 i årsred.</t>
        </r>
      </text>
    </comment>
    <comment ref="V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 i årsred.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OBS! Datan gäller Hifab AB, inte dotterbolaget Hifab International AB.</t>
        </r>
      </text>
    </comment>
    <comment ref="I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s.49 i årsred.</t>
        </r>
      </text>
    </comment>
    <comment ref="J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s.49 i årsred. "antalet årsanställda", dvs. gnmsnttlgt antal omräkn till heltidstjänster</t>
        </r>
      </text>
    </comment>
    <comment ref="N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s.17 i årsred.</t>
        </r>
      </text>
    </comment>
    <comment ref="R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
Janne:
TA ANDELEN AV TOTALA PERSONALKOSTNADER!</t>
        </r>
      </text>
    </comment>
    <comment ref="S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</t>
        </r>
      </text>
    </comment>
    <comment ref="T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s.30 i årsred.</t>
        </r>
      </text>
    </comment>
    <comment ref="V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s.31 i årsred.</t>
        </r>
      </text>
    </comment>
    <comment ref="F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s.21 i årsred.</t>
        </r>
      </text>
    </comment>
    <comment ref="I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</t>
        </r>
      </text>
    </comment>
    <comment ref="N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s.21 i årsred.</t>
        </r>
      </text>
    </comment>
    <comment ref="T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s.21 i årsred.</t>
        </r>
      </text>
    </comment>
    <comment ref="V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s.22 i årsred.</t>
        </r>
      </text>
    </comment>
    <comment ref="A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Förlängt räkenskapsår: 1 maj 2012 - 30 september 2013.</t>
        </r>
      </text>
    </comment>
    <comment ref="F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årsred.</t>
        </r>
      </text>
    </comment>
    <comment ref="K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N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R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årsred.</t>
        </r>
      </text>
    </comment>
    <comment ref="S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årsred.</t>
        </r>
      </text>
    </comment>
    <comment ref="T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V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s.9 i årsred.</t>
        </r>
      </text>
    </comment>
    <comment ref="A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Data från årsred. insamlad efter kontakt.</t>
        </r>
      </text>
    </comment>
    <comment ref="F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 i årsred.</t>
        </r>
      </text>
    </comment>
    <comment ref="H9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Över 100% i jämförelse med ÅR. Sätt 100%
</t>
        </r>
      </text>
    </comment>
    <comment ref="I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 i årsred.</t>
        </r>
      </text>
    </comment>
    <comment ref="K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 i årsred.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Danskt företag, således ej intressant? Endast "årsrapport" med nyckeltal för 2013 på hemsidan. Datan här är från årsred. insamlad efter kontakt.</t>
        </r>
      </text>
    </comment>
    <comment ref="F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 i årsred.</t>
        </r>
      </text>
    </comment>
    <comment ref="I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K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R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S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T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 i årsred.</t>
        </r>
      </text>
    </comment>
    <comment ref="F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s.24 i årsred.</t>
        </r>
      </text>
    </comment>
    <comment ref="I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s.27 i årsred.</t>
        </r>
      </text>
    </comment>
    <comment ref="J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s.27 i årsred.</t>
        </r>
      </text>
    </comment>
    <comment ref="K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s.27 i årsred.</t>
        </r>
      </text>
    </comment>
    <comment ref="N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s.24 i årsred.</t>
        </r>
      </text>
    </comment>
    <comment ref="R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
Janne:
TA ANDELEN AV TOTALA PERSONALKOSTNADER!</t>
        </r>
      </text>
    </comment>
    <comment ref="T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s.24 i årsred.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Enmansbolag. Data insamlad via mejlkommunikation med P. Sköld.</t>
        </r>
      </text>
    </comment>
    <comment ref="F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intäkter Sida+intäkter från EU-KOM enl egen uppgift. </t>
        </r>
      </text>
    </comment>
    <comment ref="J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enl egen uppgift</t>
        </r>
      </text>
    </comment>
    <comment ref="N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"fastställd förvärvsinkomst" fr, skatteverket</t>
        </r>
      </text>
    </comment>
    <comment ref="T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"summa slutlig skatt" fr Skatteverket</t>
        </r>
      </text>
    </comment>
    <comment ref="A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Data fr. årsred. insamlad efter kontakt. Brutet räkenskapsår: 2013-05-01 - 2014-04-30.</t>
        </r>
      </text>
    </comment>
    <comment ref="F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 6 i årsred.</t>
        </r>
      </text>
    </comment>
    <comment ref="I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s.12 i årsred.</t>
        </r>
      </text>
    </comment>
    <comment ref="J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om i SE utan antar detta! </t>
        </r>
      </text>
    </comment>
    <comment ref="R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s.13 i årsred. under antagandet att samtliga anställda är verksamma i SE (vilket troligtvis inte stämmer helt men nästan, 1-5 jobbar säkert utaomlands).</t>
        </r>
      </text>
    </comment>
    <comment ref="T1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 i årsred.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Brutet räkenskapsår. Data här avser 2012/2013 från årsred. insamlad efter kontakt.</t>
        </r>
      </text>
    </comment>
    <comment ref="F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 i årsred.</t>
        </r>
      </text>
    </comment>
    <comment ref="I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K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R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Data för brutet räkenskapsår 2012-2013 (ej spec.)</t>
        </r>
      </text>
    </comment>
    <comment ref="F1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 i årsred.</t>
        </r>
      </text>
    </comment>
    <comment ref="J1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 i årsred.</t>
        </r>
      </text>
    </comment>
    <comment ref="K1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 i årsred.</t>
        </r>
      </text>
    </comment>
    <comment ref="R1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anger endast personalkostn. dvs. löner+soc.avg. sammanslaget. (2892Mkr) s.18 i årsred.</t>
        </r>
      </text>
    </comment>
    <comment ref="T1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I1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s.20 i årsred.</t>
        </r>
      </text>
    </comment>
    <comment ref="K1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s.20 i årsred.</t>
        </r>
      </text>
    </comment>
    <comment ref="N1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s.17 i årsred.</t>
        </r>
      </text>
    </comment>
    <comment ref="R1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s.20 i årsred.</t>
        </r>
      </text>
    </comment>
    <comment ref="T1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s.16 i årsred.</t>
        </r>
      </text>
    </comment>
    <comment ref="V1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F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s.44 i årsred.</t>
        </r>
      </text>
    </comment>
    <comment ref="I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s.60 i årsred.</t>
        </r>
      </text>
    </comment>
    <comment ref="J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s.60 i årsred.</t>
        </r>
      </text>
    </comment>
    <comment ref="K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s.60 i årsred.</t>
        </r>
      </text>
    </comment>
    <comment ref="N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s.44 i årsred.</t>
        </r>
      </text>
    </comment>
    <comment ref="R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av årsred.
Janne:
TA ANDELEN AV TOTALA PERSONALKOSTNADER!</t>
        </r>
      </text>
    </comment>
    <comment ref="T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s.44 i årsred.</t>
        </r>
      </text>
    </comment>
    <comment ref="V1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 45 i årsred.</t>
        </r>
      </text>
    </comment>
    <comment ref="A1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 Intäkter fr Sida avser projekt gnmfrda under 2012, men som slutfakturerades under 2013. Data fr. årsred. insamlad efter kontakt.</t>
        </r>
      </text>
    </comment>
    <comment ref="H18" authorId="1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Över 100% i jämförelse med ÅR. Sätt 100%
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</t>
        </r>
      </text>
    </comment>
    <comment ref="A1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 för 2013, dock för 2012. Data från årsred. insamlad efter kontakt.</t>
        </r>
      </text>
    </comment>
    <comment ref="F1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"koncernen" s.5 i årsred.</t>
        </r>
      </text>
    </comment>
    <comment ref="I1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årsred.</t>
        </r>
      </text>
    </comment>
    <comment ref="N1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 i årsred.</t>
        </r>
      </text>
    </comment>
    <comment ref="R1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årsred.</t>
        </r>
      </text>
    </comment>
    <comment ref="T1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 i årsred.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Tyskt ftg. (relevant?) Ingen årsed. på hemsidan. Efter kontakt: ingen jobbar i SE, samarbetar med Sida i ett projekt i Bolivia. Publicerar aldrig årsredovisning.</t>
        </r>
      </text>
    </comment>
  </commentList>
</comments>
</file>

<file path=xl/comments7.xml><?xml version="1.0" encoding="utf-8"?>
<comments xmlns="http://schemas.openxmlformats.org/spreadsheetml/2006/main">
  <authors>
    <author>Jonas</author>
    <author>Jonas Klarin</author>
    <author>Jan Pettersson</author>
  </authors>
  <commentList>
    <comment ref="L1" authorId="0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Enligt resp. org. årsred.</t>
        </r>
      </text>
    </comment>
    <comment ref="A2" authorId="1">
      <text>
        <r>
          <rPr>
            <b/>
            <sz val="9"/>
            <color indexed="81"/>
            <rFont val="Tahoma"/>
            <family val="2"/>
          </rPr>
          <t>Janne:
Ingen verksamhet i SE, droppa!
Intäkter totalt 1882 KNOK vara 193.200 KNOK från Sida/Swerige (de 60 milj SEK är alltså enbart en del!)</t>
        </r>
        <r>
          <rPr>
            <sz val="9"/>
            <color indexed="81"/>
            <rFont val="Tahoma"/>
            <family val="2"/>
          </rPr>
          <t>.</t>
        </r>
      </text>
    </comment>
    <comment ref="A3" authorId="1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Internationell org.</t>
        </r>
      </text>
    </comment>
    <comment ref="F3" authorId="1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ej ram org men har fått stöd inom ramen för regerings satsningar på barn och ungdomars rätt till hälsa och utbildning.</t>
        </r>
      </text>
    </comment>
    <comment ref="J3" authorId="1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beräkn. 1 USD = 6.503 SEK 2012-12-31, s. 34 i årsred.</t>
        </r>
      </text>
    </comment>
    <comment ref="Y3" authorId="1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beräkn. 1 USD = 6.503 SEK 2012-12-31, s. 41 i årsred.</t>
        </r>
      </text>
    </comment>
    <comment ref="A4" authorId="1">
      <text>
        <r>
          <rPr>
            <b/>
            <sz val="9"/>
            <color indexed="81"/>
            <rFont val="Tahoma"/>
            <family val="2"/>
          </rPr>
          <t>Janne:
Ingen verksamhet i SE, droppa!
Intäkter totalt 1882 KNOK vara 193.200 KNOK från Sida/Swerige (de 60 milj SEK är alltså enbart en del!)</t>
        </r>
        <r>
          <rPr>
            <sz val="9"/>
            <color indexed="81"/>
            <rFont val="Tahoma"/>
            <family val="2"/>
          </rPr>
          <t>.</t>
        </r>
      </text>
    </comment>
    <comment ref="F4" authorId="1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ej ram org men har fått stöd inom ramen för regerings satsningar på barn och ungdomars rätt till hälsa och utbildning.</t>
        </r>
      </text>
    </comment>
    <comment ref="J4" authorId="2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Ingen verksamhet i SE!</t>
        </r>
      </text>
    </comment>
  </commentList>
</comments>
</file>

<file path=xl/comments8.xml><?xml version="1.0" encoding="utf-8"?>
<comments xmlns="http://schemas.openxmlformats.org/spreadsheetml/2006/main">
  <authors>
    <author>Jonas Klarin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</t>
        </r>
      </text>
    </comment>
    <comment ref="A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Arrangerar utbytesprogram och sorteras under "utbildning".</t>
        </r>
      </text>
    </comment>
    <comment ref="A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1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A1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1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1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A1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</t>
        </r>
      </text>
    </comment>
    <comment ref="A2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</t>
        </r>
      </text>
    </comment>
    <comment ref="A2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2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2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</t>
        </r>
      </text>
    </comment>
    <comment ref="A2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A2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A3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A3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Dansk organisation, ingen årsred. för 2013 på hemsida</t>
        </r>
      </text>
    </comment>
    <comment ref="F3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ej ram org men har fått stöd inom ramen för regerings satsningar på barn och ungdomars rätt till hälsa och utbildning.</t>
        </r>
      </text>
    </comment>
    <comment ref="A3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3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3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3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38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A3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4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</t>
        </r>
      </text>
    </comment>
    <comment ref="A41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A4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4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44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A45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A46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4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49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50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52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53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</t>
        </r>
      </text>
    </comment>
    <comment ref="A107" authorId="0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Endast del 1 av 2 av årsred. finns på hemsidan. </t>
        </r>
      </text>
    </comment>
  </commentList>
</comments>
</file>

<file path=xl/comments9.xml><?xml version="1.0" encoding="utf-8"?>
<comments xmlns="http://schemas.openxmlformats.org/spreadsheetml/2006/main">
  <authors>
    <author>Jan Pettersson</author>
    <author>Jonas</author>
    <author>Jonas Klarin</author>
  </authors>
  <commentList>
    <comment ref="K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EJ FRAMGÅR I ÅR, RÄKNA ENBART SUMMAN FRÅN RAMEN SOM BIST.VERKS.
</t>
        </r>
      </text>
    </comment>
    <comment ref="L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Enligt resp. org. årsred.</t>
        </r>
      </text>
    </comment>
    <comment ref="Y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biståndsverksamhet inte särredovisas, anta samma som bitsåndsramen</t>
        </r>
      </text>
    </comment>
    <comment ref="AP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Denna är EJ heltäckande, har enbart samlats in för vissa org!
</t>
        </r>
      </text>
    </comment>
    <comment ref="AR1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Om inte explicit verksamhet i SE angivet och OM personalkostn &gt; adminkostn: Ta bort 80% av adminkostn och ta biståndsramens andel av denna summa. Detta blit verksamhetskostnaden i Sverige</t>
        </r>
      </text>
    </comment>
    <comment ref="AT1" authorId="1">
      <text>
        <r>
          <rPr>
            <b/>
            <sz val="9"/>
            <color indexed="81"/>
            <rFont val="Arial"/>
            <family val="2"/>
          </rPr>
          <t>Jonas:</t>
        </r>
        <r>
          <rPr>
            <sz val="9"/>
            <color indexed="81"/>
            <rFont val="Arial"/>
            <family val="2"/>
          </rPr>
          <t xml:space="preserve">
Om ej framgår expl, beräkn enligt admin.kost* (andel bistånd/andel intäkter bist verksmht)</t>
        </r>
      </text>
    </comment>
    <comment ref="AB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"Medeltal"</t>
        </r>
      </text>
    </comment>
    <comment ref="AK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Exkl. 10 volontärer och 4 praktikanter</t>
        </r>
      </text>
    </comment>
    <comment ref="AT2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Har enbart erhållit infobidrag och rapporterar dess användande. Alltså inga övriga kostnader i SE
</t>
        </r>
      </text>
    </comment>
    <comment ref="A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 </t>
        </r>
      </text>
    </comment>
    <comment ref="O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för 2013 på hemsidan. </t>
        </r>
      </text>
    </comment>
    <comment ref="O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Har ingen hemsida. </t>
        </r>
      </text>
    </comment>
    <comment ref="O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</t>
        </r>
      </text>
    </comment>
    <comment ref="O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</t>
        </r>
      </text>
    </comment>
    <comment ref="O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medl.org. i FS. Skriver dock "Sida-anslag" i årsred. s. 8</t>
        </r>
      </text>
    </comment>
    <comment ref="W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"bidrag från myndigheter inkl Sida", s.13 i CUGs årsred.</t>
        </r>
      </text>
    </comment>
    <comment ref="AB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CUG årsred. s.13</t>
        </r>
      </text>
    </comment>
    <comment ref="AF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CUG årsred. s.13</t>
        </r>
      </text>
    </comment>
    <comment ref="AG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CUG årsred. s.13</t>
        </r>
      </text>
    </comment>
    <comment ref="AH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CUG årsred. s.13</t>
        </r>
      </text>
    </comment>
    <comment ref="AO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administrationskostnader årsred. s.11</t>
        </r>
      </text>
    </comment>
    <comment ref="O1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1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1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"informationsbidrag Sida/Forum Syd", s.37 i Ecpats årsred.</t>
        </r>
      </text>
    </comment>
    <comment ref="AB1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s.38 i Ecpats årsred.</t>
        </r>
      </text>
    </comment>
    <comment ref="AF1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s.38 i Ecpats årsred.</t>
        </r>
      </text>
    </comment>
    <comment ref="AG1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s.38 i Ecpats årsred.</t>
        </r>
      </text>
    </comment>
    <comment ref="AK1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Ecpats årsred. s.26</t>
        </r>
      </text>
    </comment>
    <comment ref="K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</t>
        </r>
      </text>
    </comment>
    <comment ref="L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SMR. EFS har dock posten "bidrag" om 8,877 som kan vara fr Sida, s.17 i EFS årsred.</t>
        </r>
      </text>
    </comment>
    <comment ref="P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enligt SMR s.42</t>
        </r>
      </text>
    </comment>
    <comment ref="AB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medel, s.18 i årsred.
bl.a. 22 pers på Johannelund teol. hsk s.9</t>
        </r>
      </text>
    </comment>
    <comment ref="AC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20 anställda på EFS kansli, s.4 i årsred.</t>
        </r>
      </text>
    </comment>
    <comment ref="AF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AG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AH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AK1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s.3 i årsred.</t>
        </r>
      </text>
    </comment>
    <comment ref="J2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s.6 i årsred.</t>
        </r>
      </text>
    </comment>
    <comment ref="AB2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s.10 i årsred.</t>
        </r>
      </text>
    </comment>
    <comment ref="AG2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s.10 i årsred.</t>
        </r>
      </text>
    </comment>
    <comment ref="A2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</t>
        </r>
      </text>
    </comment>
    <comment ref="P21" authorId="2">
      <text>
        <r>
          <rPr>
            <b/>
            <sz val="9"/>
            <color indexed="81"/>
            <rFont val="Tahoma"/>
            <family val="2"/>
          </rPr>
          <t xml:space="preserve">Jonas Klarin:
</t>
        </r>
        <r>
          <rPr>
            <sz val="9"/>
            <color indexed="81"/>
            <rFont val="Tahoma"/>
            <family val="2"/>
          </rPr>
          <t>fr Sida via SMR, enligt SMR årsred. s.42</t>
        </r>
      </text>
    </comment>
    <comment ref="J2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s.17 i årsred.</t>
        </r>
      </text>
    </comment>
    <comment ref="O2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Forum Syd+LO/TCO Biståndsnämnd, s.17 i årsred. 0,51988 fr FS enl FS internt dok</t>
        </r>
      </text>
    </comment>
    <comment ref="AB2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"medel", s.18 i årsred.</t>
        </r>
      </text>
    </comment>
    <comment ref="AG2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s.18 i årsred.</t>
        </r>
      </text>
    </comment>
    <comment ref="AK2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s.13 i årsred.</t>
        </r>
      </text>
    </comment>
    <comment ref="AO2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admin. post i årsred.</t>
        </r>
      </text>
    </comment>
    <comment ref="A2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Är dock medl.org. i Forum Syd. och kan ha fått anslag enl. s.29 av FS årsred.</t>
        </r>
      </text>
    </comment>
    <comment ref="O2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2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</t>
        </r>
      </text>
    </comment>
    <comment ref="O2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2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2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2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2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fler bidragsgivare? se not E27</t>
        </r>
      </text>
    </comment>
    <comment ref="L2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särkskiljer inte Sida-anslag fr andra bidrag: "bidrag fr. myndigh. och andra org." s.11 i årsred.</t>
        </r>
      </text>
    </comment>
    <comment ref="P2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enligt SMR årsred. s,42</t>
        </r>
      </text>
    </comment>
    <comment ref="AB2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tot. antal arbetstimmar omvandlat till heltidstjänster. s.11 i FA årsred.</t>
        </r>
      </text>
    </comment>
    <comment ref="O2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3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3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3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3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3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3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3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från Forum Syd se FUF budgetvsutfall</t>
        </r>
      </text>
    </comment>
    <comment ref="Q3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se FUF budgetvsutfall</t>
        </r>
      </text>
    </comment>
    <comment ref="AK3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se FUF "ekonomisk rapport"</t>
        </r>
      </text>
    </comment>
    <comment ref="AN35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Notera att biståndsdebatten.se fiansierades med egna insamlade medel!
</t>
        </r>
      </text>
    </comment>
    <comment ref="AO3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"egen administration"</t>
        </r>
      </text>
    </comment>
    <comment ref="AP3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"biståndsdebatten.se"</t>
        </r>
      </text>
    </comment>
    <comment ref="AS35" authorId="0">
      <text>
        <r>
          <rPr>
            <b/>
            <sz val="9"/>
            <color indexed="81"/>
            <rFont val="Tahoma"/>
            <family val="2"/>
          </rPr>
          <t>Jan Pettersson:</t>
        </r>
        <r>
          <rPr>
            <sz val="9"/>
            <color indexed="81"/>
            <rFont val="Tahoma"/>
            <family val="2"/>
          </rPr>
          <t xml:space="preserve">
Enbart verksamhet i SE!
Sätt = intäkter från ram</t>
        </r>
      </text>
    </comment>
    <comment ref="AT3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"egen admin."xODA-andel+"Forum Syd Admin.", se FUF budgetvsutfall</t>
        </r>
      </text>
    </comment>
    <comment ref="A3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3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3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3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3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3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fel på hemsida, årsred. för 2013 går ej att ladda ner.</t>
        </r>
      </text>
    </comment>
    <comment ref="O4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4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P42" authorId="2">
      <text>
        <r>
          <rPr>
            <b/>
            <sz val="9"/>
            <color indexed="81"/>
            <rFont val="Tahoma"/>
            <family val="2"/>
          </rPr>
          <t xml:space="preserve">Jonas Klarin:
</t>
        </r>
        <r>
          <rPr>
            <sz val="9"/>
            <color indexed="81"/>
            <rFont val="Tahoma"/>
            <family val="2"/>
          </rPr>
          <t>fr Sida via SMR enl HS årsred. s.15. 0 enl SMR årsred. s.42</t>
        </r>
      </text>
    </comment>
    <comment ref="AB4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HS årsred.</t>
        </r>
      </text>
    </comment>
    <comment ref="AC4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medeltal</t>
        </r>
      </text>
    </comment>
    <comment ref="AF4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s.14 i HS årsred.</t>
        </r>
      </text>
    </comment>
    <comment ref="AK4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 6 i Hoppets Sjtärnas årsred.</t>
        </r>
      </text>
    </comment>
    <comment ref="AO4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adminiistrationskostn. s. 9 i HS årsred.</t>
        </r>
      </text>
    </comment>
    <comment ref="O4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4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4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4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</t>
        </r>
      </text>
    </comment>
    <comment ref="O4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4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4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4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4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Syd, s.10 i årsred.</t>
        </r>
      </text>
    </comment>
    <comment ref="AK4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"personer/företag" s.3 i årsred.</t>
        </r>
      </text>
    </comment>
    <comment ref="AO4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årsred. Endast verksamhetskost. samt överföring.</t>
        </r>
      </text>
    </comment>
    <comment ref="A5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5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5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5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5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5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5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</t>
        </r>
      </text>
    </comment>
    <comment ref="O5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5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5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5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5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6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6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A6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6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6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6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finns ej på hemsida. </t>
        </r>
      </text>
    </comment>
    <comment ref="O6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6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6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6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6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6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Ingen årsred. på hemsidan.
Janne:
Har skuldfört 1,775 miljoner till Sida och redovisar utfasningsprojekt samt små projetk. Antaget använt bidrar = diffen!</t>
        </r>
      </text>
    </comment>
    <comment ref="O7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7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8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9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9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9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9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A9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Årsred. ej på hemisda</t>
        </r>
      </text>
    </comment>
    <comment ref="P9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SMR, enligt SMRs årsred s.42</t>
        </r>
      </text>
    </comment>
    <comment ref="H9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fick medel men oklart om det är en medl.org.</t>
        </r>
      </text>
    </comment>
    <comment ref="J9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s.5 i SBs årsred.</t>
        </r>
      </text>
    </comment>
    <comment ref="K9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ej vad som är bistånd och vad som är bibelöversättar- verksamhet i SE och utl?</t>
        </r>
      </text>
    </comment>
    <comment ref="P9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 Sida via SMR enl SB årsred. s.5. 1,002 enl. SMRs årsred s.42</t>
        </r>
      </text>
    </comment>
    <comment ref="AC9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framgår av s.4 i SBs årsred.</t>
        </r>
      </text>
    </comment>
    <comment ref="AD9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s.4 i årsred.</t>
        </r>
      </text>
    </comment>
    <comment ref="AG9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s.8 i SBs årsred.</t>
        </r>
      </text>
    </comment>
    <comment ref="O9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9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9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9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6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7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8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09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10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11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12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13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14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  <comment ref="O115" authorId="2">
      <text>
        <r>
          <rPr>
            <b/>
            <sz val="9"/>
            <color indexed="81"/>
            <rFont val="Tahoma"/>
            <family val="2"/>
          </rPr>
          <t>Jonas Klarin:</t>
        </r>
        <r>
          <rPr>
            <sz val="9"/>
            <color indexed="81"/>
            <rFont val="Tahoma"/>
            <family val="2"/>
          </rPr>
          <t xml:space="preserve">
fr. Forum Syd (enl. Forum Syd internt dok.)</t>
        </r>
      </text>
    </comment>
  </commentList>
</comments>
</file>

<file path=xl/sharedStrings.xml><?xml version="1.0" encoding="utf-8"?>
<sst xmlns="http://schemas.openxmlformats.org/spreadsheetml/2006/main" count="2068" uniqueCount="1058">
  <si>
    <t>Organisation/företag</t>
  </si>
  <si>
    <t>Sektor</t>
  </si>
  <si>
    <t>tot.intäkter</t>
  </si>
  <si>
    <t>antal medlemmar</t>
  </si>
  <si>
    <t>intäkter bistånds-verksamhet</t>
  </si>
  <si>
    <t>Rädda barnen</t>
  </si>
  <si>
    <t>NGO</t>
  </si>
  <si>
    <t>Diakonia</t>
  </si>
  <si>
    <t>varav bistånds-ramen(*)</t>
  </si>
  <si>
    <t>(*) Ramavtalet</t>
  </si>
  <si>
    <t>(*) Informations-anslag</t>
  </si>
  <si>
    <t>Andel av Sidas bidrag använda i Sverige</t>
  </si>
  <si>
    <t>(*) Ambassader</t>
  </si>
  <si>
    <t>(*) Övr. Sida</t>
  </si>
  <si>
    <t>lönesumma sverige</t>
  </si>
  <si>
    <t>antal anställda (heltidsekvivalenter)</t>
  </si>
  <si>
    <t>antal anställda i Sverige (full-time employments)</t>
  </si>
  <si>
    <t>Summa från biståndsramen med användning i Sverige</t>
  </si>
  <si>
    <t>Övr kostn. i Sverige (ex. insaml-kostn.) Ej bist.ram</t>
  </si>
  <si>
    <t>Andel män</t>
  </si>
  <si>
    <t>Action Aid</t>
  </si>
  <si>
    <t>antal anställda i Sverige, attribuera till biståndsramen</t>
  </si>
  <si>
    <t>Verks i SE + gemensam verks bedriven i SE (Fin ur bist.ram)</t>
  </si>
  <si>
    <t>Admin. kost. (Fin. ur bist.ram)</t>
  </si>
  <si>
    <t>WE Effect</t>
  </si>
  <si>
    <t>Svenska Missionsrådet</t>
  </si>
  <si>
    <t>MyRight</t>
  </si>
  <si>
    <t>PMU Interlife</t>
  </si>
  <si>
    <t>LO/TCO Biståndsnämnd</t>
  </si>
  <si>
    <t>Olof Palmes IC</t>
  </si>
  <si>
    <t>Afrikagrupperna i SE</t>
  </si>
  <si>
    <t>PLAN Sweden</t>
  </si>
  <si>
    <t>Svenska Afganistankommittén</t>
  </si>
  <si>
    <t>Admin. Kost.</t>
  </si>
  <si>
    <t>Verks i SE + gemensam verks bedriven i SE</t>
  </si>
  <si>
    <t>Svenska Naturskydsföreningen</t>
  </si>
  <si>
    <t>?</t>
  </si>
  <si>
    <t>RFSU</t>
  </si>
  <si>
    <t>Världsnaturfonden WWF</t>
  </si>
  <si>
    <t>Kristna Fredsrörelsen</t>
  </si>
  <si>
    <t>(*) Övr. Sida (enligt Sida)</t>
  </si>
  <si>
    <t>(*) Informations-anslag (enligt Sida)</t>
  </si>
  <si>
    <t>(*) Ramavtalet (enligt Sida)</t>
  </si>
  <si>
    <t>varav från FBA</t>
  </si>
  <si>
    <t>varav Sida enl. org</t>
  </si>
  <si>
    <t>Tot. ej spec. Sida</t>
  </si>
  <si>
    <t>Barnmissionen</t>
  </si>
  <si>
    <t>EFS</t>
  </si>
  <si>
    <t>Equmeniakyrkan</t>
  </si>
  <si>
    <t>Erikshjälpen</t>
  </si>
  <si>
    <t>Evangeliska Frikyrkan</t>
  </si>
  <si>
    <t>Evangeliska Östasienmissionen</t>
  </si>
  <si>
    <t>Folk&amp;Språk</t>
  </si>
  <si>
    <t>Frälsningsarmén</t>
  </si>
  <si>
    <t>Hoppets Stjärna</t>
  </si>
  <si>
    <t>International Aid Services</t>
  </si>
  <si>
    <t>KFUM Sverige</t>
  </si>
  <si>
    <t>Kväkarhjälpen</t>
  </si>
  <si>
    <t>Lepramissionen</t>
  </si>
  <si>
    <t>Life and Peace Institute</t>
  </si>
  <si>
    <t>Kvinna till kvinna</t>
  </si>
  <si>
    <t>Operation Mercy</t>
  </si>
  <si>
    <t>Vidareförmedlat</t>
  </si>
  <si>
    <t>Svenska Alliansmissionen</t>
  </si>
  <si>
    <t>Svenska Bibelsällskapet</t>
  </si>
  <si>
    <t>Sveriges Kristnas Råd</t>
  </si>
  <si>
    <t>Forum Syd</t>
  </si>
  <si>
    <t>Vi-skogen</t>
  </si>
  <si>
    <t>A World of Friends, Sweden</t>
  </si>
  <si>
    <t>Adoptionscentrum</t>
  </si>
  <si>
    <t>Afarvännerna i Sverige</t>
  </si>
  <si>
    <t>African Care &amp; School</t>
  </si>
  <si>
    <t>Afrikanska läkarförbundet i Skandinavien</t>
  </si>
  <si>
    <t>Afro-Europeiska Riksförbundet</t>
  </si>
  <si>
    <t>Afrosvenskarnas Riksförbund</t>
  </si>
  <si>
    <t>AFS Interkulturell utbildning</t>
  </si>
  <si>
    <t>Arkitekter Utan Gränser</t>
  </si>
  <si>
    <t>Artister för Fred</t>
  </si>
  <si>
    <t>Attac Sverige</t>
  </si>
  <si>
    <t>Barnfonden</t>
  </si>
  <si>
    <t>Bharat Indien-bistånd</t>
  </si>
  <si>
    <t>Biblioteksstöd till Centralamerika Föreningen</t>
  </si>
  <si>
    <t>BLLF Sweden</t>
  </si>
  <si>
    <t>Caritas Sweden</t>
  </si>
  <si>
    <t>Cinemafrica</t>
  </si>
  <si>
    <t>Civis</t>
  </si>
  <si>
    <t>Clowner Utan Gränser</t>
  </si>
  <si>
    <t>Colchaj Nac Luum</t>
  </si>
  <si>
    <t>Daryeel Association</t>
  </si>
  <si>
    <t>Ecpat Sverige</t>
  </si>
  <si>
    <t>Eduardo Madariaga Förening</t>
  </si>
  <si>
    <t>Emmaus Björkå</t>
  </si>
  <si>
    <t>Emmaus Stockholm</t>
  </si>
  <si>
    <t>Fair Trade Center</t>
  </si>
  <si>
    <t>Farmacevter Utan Gränser</t>
  </si>
  <si>
    <t>FIAN-Sverige</t>
  </si>
  <si>
    <t>Fältbiologerna</t>
  </si>
  <si>
    <t>Färnebo Folkhögskola</t>
  </si>
  <si>
    <t>Föreningen för Hälsa och Mänskliga Rättigheter</t>
  </si>
  <si>
    <t>Föreningen Fjärde Världen</t>
  </si>
  <si>
    <t>Föreningen Framtidsjorden</t>
  </si>
  <si>
    <t>Föreningen för Rehabilitering i Utvecklingsländer</t>
  </si>
  <si>
    <t>Föreningen för SUS-kvinnoprojekt i Bangladesh</t>
  </si>
  <si>
    <t>Föreningen för Utvecklingsfrågor</t>
  </si>
  <si>
    <t>Föreningen Karibu</t>
  </si>
  <si>
    <t>Föreningen Palmeras Vänner</t>
  </si>
  <si>
    <t>Föreningen Sofia</t>
  </si>
  <si>
    <t>Föreningen Västsahara</t>
  </si>
  <si>
    <t>Gambiagrupperna</t>
  </si>
  <si>
    <t>Ghana Union Umeå</t>
  </si>
  <si>
    <t>Guatemala för M.A. Asturias (i Lund)</t>
  </si>
  <si>
    <t>Hand in Hand Sweden</t>
  </si>
  <si>
    <t>Amazonasföreningen i Härryda</t>
  </si>
  <si>
    <t>Hiraan Rehabilitation and Development Organisation</t>
  </si>
  <si>
    <t>Horn of Africa Development Association</t>
  </si>
  <si>
    <t>Hjälp till Liv International</t>
  </si>
  <si>
    <t>Ingenjörer och Naturvetare Utan Gränser</t>
  </si>
  <si>
    <t>Ingenjörer Utan Gränser</t>
  </si>
  <si>
    <t>Inincate</t>
  </si>
  <si>
    <t>Intacts Vänner</t>
  </si>
  <si>
    <t>Internationella Arbetslag</t>
  </si>
  <si>
    <t>Internationella Kvinnoförbundet</t>
  </si>
  <si>
    <t>Iransk-Svenska Solidaritetsföreningen i Malmö</t>
  </si>
  <si>
    <t>Islamic Relief Sverige</t>
  </si>
  <si>
    <t>JIDCA</t>
  </si>
  <si>
    <t>Jordens Vänner</t>
  </si>
  <si>
    <t>Karaqwe Föreningen</t>
  </si>
  <si>
    <t>Kids Future</t>
  </si>
  <si>
    <t>-</t>
  </si>
  <si>
    <t>Klimataktion</t>
  </si>
  <si>
    <t>Kurdistan Solidarity Föreningen</t>
  </si>
  <si>
    <t>Kvinnor för Fred</t>
  </si>
  <si>
    <t>Kvinnor i Samverkan</t>
  </si>
  <si>
    <t>Latina-Latinamerikanska Kooperationsföreningen</t>
  </si>
  <si>
    <t>Latinamerikagrupperna</t>
  </si>
  <si>
    <t>Lidköping i Världen Föreningen</t>
  </si>
  <si>
    <t>LSU Sveriges Ungdomsorganisationer</t>
  </si>
  <si>
    <t>Läkare i Världen</t>
  </si>
  <si>
    <t>Lärande Utan Gränser</t>
  </si>
  <si>
    <t>Muslimska Kvinnors Idrottsförening</t>
  </si>
  <si>
    <t>Nordens Biskops-Arnö Stiftelsen</t>
  </si>
  <si>
    <t>Nordisk Hjälp</t>
  </si>
  <si>
    <t>Ordfront</t>
  </si>
  <si>
    <t>Organisationen Fair Trade Återförsäljarna</t>
  </si>
  <si>
    <t>Pan Asia Cooperation Society</t>
  </si>
  <si>
    <t>Peacequest International</t>
  </si>
  <si>
    <t>Perukommitén för Mänskliga Rättigheter</t>
  </si>
  <si>
    <t>Praktisk Solidaritet</t>
  </si>
  <si>
    <t>RFSL</t>
  </si>
  <si>
    <t>Svenska Kyrkan</t>
  </si>
  <si>
    <t>Norwegian Refugee Council</t>
  </si>
  <si>
    <t>International HIV AIDS Association</t>
  </si>
  <si>
    <t>Ibis</t>
  </si>
  <si>
    <t>Gröna Bilister</t>
  </si>
  <si>
    <t>Civil Rights Defenders</t>
  </si>
  <si>
    <t>Svenska Röda Korset</t>
  </si>
  <si>
    <t>World's Children's Price Organization</t>
  </si>
  <si>
    <t>En Rökfri Generation</t>
  </si>
  <si>
    <t>Insamlingsstiftelsen Green Forum</t>
  </si>
  <si>
    <t>Jarl Hjalmarsson Stiftelsen</t>
  </si>
  <si>
    <t>Centerpartiets Internationella Stiftelse</t>
  </si>
  <si>
    <t>Kristdemokratiskt Internationellt Center</t>
  </si>
  <si>
    <t>Svenskt Internationellt Liberalt Centrum</t>
  </si>
  <si>
    <t>Vänsterns Solidaritetsforum</t>
  </si>
  <si>
    <t>Utrikespolitiska Institutet</t>
  </si>
  <si>
    <t>Save Somaliland Children Organisation</t>
  </si>
  <si>
    <t>Scouterna</t>
  </si>
  <si>
    <t>Serbiska Ungdomsförbundet</t>
  </si>
  <si>
    <t>SISU Idrottsutbildarna</t>
  </si>
  <si>
    <t>Somali Centre for Water &amp; Environment</t>
  </si>
  <si>
    <t>Somali Intellektuell Banadir Förening</t>
  </si>
  <si>
    <t>Somali Relief Association Sweden</t>
  </si>
  <si>
    <t>Somaliland Nordic Relief</t>
  </si>
  <si>
    <t>Somaliland Riksförbund</t>
  </si>
  <si>
    <t>Somaliland-Sweden Entrepren Development Associatio</t>
  </si>
  <si>
    <t>SOMALISKA KVINNOFÖRENINGEN I SKANDINAVIEN</t>
  </si>
  <si>
    <t>Somaliska Kvinnor Riksförbundet</t>
  </si>
  <si>
    <t>SOMALISKA TRÄFFPUNKT</t>
  </si>
  <si>
    <t>Somali-Swedish Researchers Association</t>
  </si>
  <si>
    <t>Sri Lanka Barns Vänner</t>
  </si>
  <si>
    <t>Stiftelsen Hungerprojektet</t>
  </si>
  <si>
    <t>Stockholm - Ladugårdslandet Rotaryklubb</t>
  </si>
  <si>
    <t>Studieförbundet Vuxenskolan</t>
  </si>
  <si>
    <t>Studieförbundet Vuxenskolan - Stockholm</t>
  </si>
  <si>
    <t>Studieförbundet Vuxenskolan i Västra Götaland</t>
  </si>
  <si>
    <t>Studieförbundet Vuxenskolan Värmland</t>
  </si>
  <si>
    <t>Stödföreningen för Joha Trust</t>
  </si>
  <si>
    <t>Svalorna Indien Bangladesh</t>
  </si>
  <si>
    <t>Svalorna Latinamerika</t>
  </si>
  <si>
    <t>Svenska Burmakommittén</t>
  </si>
  <si>
    <t>Svenska FN-förbundet/UNA Sweden</t>
  </si>
  <si>
    <t>Svenska Freds- och Skiljedomsföreningen</t>
  </si>
  <si>
    <t>Svenska kvinnors vänsterförbund</t>
  </si>
  <si>
    <t>Svenska Oindoföreningen</t>
  </si>
  <si>
    <t>Svenska Palestinakommittén</t>
  </si>
  <si>
    <t>Svenska Skolidrottsförbundet</t>
  </si>
  <si>
    <t>Svenskirakiska solidaritetskommittén</t>
  </si>
  <si>
    <t>SVENSK-SUDANSKA FÖRENINGEN</t>
  </si>
  <si>
    <t>Svensk-Tanzaniska Föreningen</t>
  </si>
  <si>
    <t>Sveriges Int Utvecklingscentrum för Afrika</t>
  </si>
  <si>
    <t>Tam Tam</t>
  </si>
  <si>
    <t xml:space="preserve">Tandala </t>
  </si>
  <si>
    <t>Tempo Dokumentärfestival</t>
  </si>
  <si>
    <t>UN Women nationell kommitte Sverige</t>
  </si>
  <si>
    <t>Utrikespolitiska Förbundet Sverige</t>
  </si>
  <si>
    <t>Varken hora eller kuvad, Stockholm, Sverige</t>
  </si>
  <si>
    <t>Verdandi Stockholms distrikt</t>
  </si>
  <si>
    <t>Visa Vägen</t>
  </si>
  <si>
    <t>Vänföreningen Ihushi</t>
  </si>
  <si>
    <t>Vänföreningen Portee</t>
  </si>
  <si>
    <t>Vänskapsförbundet Sverige-Nicaragua</t>
  </si>
  <si>
    <t>Östgruppen för demokrati och mänskliga rättigheter</t>
  </si>
  <si>
    <t>Sida Ram Org.</t>
  </si>
  <si>
    <t>Forum Syd Medl. Org.</t>
  </si>
  <si>
    <t>SMR org</t>
  </si>
  <si>
    <t>Rikskris</t>
  </si>
  <si>
    <t>Ryska riksförbundet i sverige</t>
  </si>
  <si>
    <t>Rörelsefolkhögskolornas intresseorganisation</t>
  </si>
  <si>
    <t>Salvadoranska riksförbundet, amoar</t>
  </si>
  <si>
    <t>Samerådet svenska sektionen</t>
  </si>
  <si>
    <t>Schools for the future</t>
  </si>
  <si>
    <t>Scouterna (tidigage svenska scoutrådet)</t>
  </si>
  <si>
    <t>Self-management, org. För nykooperation i u-land</t>
  </si>
  <si>
    <t>Sensus studieförbund</t>
  </si>
  <si>
    <t>Socialdemokrater för tro och solidaritet</t>
  </si>
  <si>
    <t>Socionomer utan gränser</t>
  </si>
  <si>
    <t>Somaliintellektuell banadir förening</t>
  </si>
  <si>
    <t>Somalia international rehabilitation centre</t>
  </si>
  <si>
    <t>Somaliska riksförbundet i sverige</t>
  </si>
  <si>
    <t>Sosbarnbyar sverige</t>
  </si>
  <si>
    <t>Sri lankas barns vänner, biståndsföreningen</t>
  </si>
  <si>
    <t>Stiftelsen cogito</t>
  </si>
  <si>
    <t>Stockholms fn-förening</t>
  </si>
  <si>
    <t>Studiefrämjandet, riksförbundet</t>
  </si>
  <si>
    <t>Stödföreningen för martaskolan</t>
  </si>
  <si>
    <t>Suryoyo hjälpfonden</t>
  </si>
  <si>
    <t>Sweden liberia cooperative</t>
  </si>
  <si>
    <t>Svenska aralsjösällskapet</t>
  </si>
  <si>
    <t>Svenska bahai-samfundet</t>
  </si>
  <si>
    <t>Svenska mount elgonföreningen</t>
  </si>
  <si>
    <t>Svensk-eritreanskt forum för utvecklingssamarbete</t>
  </si>
  <si>
    <t>Svensk-litauiska riksföreningen</t>
  </si>
  <si>
    <t>Svensk-somaliska vänföreningen</t>
  </si>
  <si>
    <t>Svensk-tibetanska skol- &amp; kulturföreningen</t>
  </si>
  <si>
    <t>Svensk-ukrainska föreningen i karlskrona</t>
  </si>
  <si>
    <t>Svensk-zambiska föreningen</t>
  </si>
  <si>
    <t>Sverige namibia föreningen</t>
  </si>
  <si>
    <t>Sverige-dominica vänskapsförening</t>
  </si>
  <si>
    <t>Sveriges riksidrottsförbund</t>
  </si>
  <si>
    <t>The palestine solidarity association of sweden</t>
  </si>
  <si>
    <t>Together for progress</t>
  </si>
  <si>
    <t>Togo kommitten för demokratins överlevnad</t>
  </si>
  <si>
    <t>Tostan sverige</t>
  </si>
  <si>
    <t>Twiga</t>
  </si>
  <si>
    <t>Unicef sverige</t>
  </si>
  <si>
    <t>United africa riksförbundet</t>
  </si>
  <si>
    <t>Varken hora eller kuvad</t>
  </si>
  <si>
    <t>Vänortsföreningen jönköping-bangladesh</t>
  </si>
  <si>
    <t>Vänortsföreningen sala-pao</t>
  </si>
  <si>
    <t>Vänortsföreningen strängnäs-simanjiro-loibor</t>
  </si>
  <si>
    <t>Vänskapsföreningen sverige guinea-bissau</t>
  </si>
  <si>
    <t>Yari - iranska ungdomshjälpsföreningen</t>
  </si>
  <si>
    <t>Yrkesföreningen miljö och hälsa</t>
  </si>
  <si>
    <t>Zambian association for sustainable projects</t>
  </si>
  <si>
    <t>Äldre för äldre</t>
  </si>
  <si>
    <t>Österlens folkhögskola</t>
  </si>
  <si>
    <t>ArtAgent</t>
  </si>
  <si>
    <t>Banyole International Association</t>
  </si>
  <si>
    <t>Bishozi International Org.</t>
  </si>
  <si>
    <t>Centerkvinnorna i Halland</t>
  </si>
  <si>
    <t>Civilförsvarsförbundet Örebrodistriktet</t>
  </si>
  <si>
    <t>Dags För Barnkonventionen</t>
  </si>
  <si>
    <t>Demokrati för Barns Framtid</t>
  </si>
  <si>
    <t>FIFH Föreningen Idrott för Handikappade</t>
  </si>
  <si>
    <t>Flickors utbildning i Kamerun</t>
  </si>
  <si>
    <t>Fonden för mänskliga rättigheter</t>
  </si>
  <si>
    <t>Föreningen Afrikas Barn</t>
  </si>
  <si>
    <t>Föreningen Flamingo</t>
  </si>
  <si>
    <t>Föreningen för Bothmergymnastik i Norden</t>
  </si>
  <si>
    <t>Föreningen för forskn.&amp;utv. i Chinland</t>
  </si>
  <si>
    <t>Föreningen för Solidaritet och Utvecklingsfrågor</t>
  </si>
  <si>
    <t>Galka Utbildning och Utveckling</t>
  </si>
  <si>
    <t>Global Action Sverige</t>
  </si>
  <si>
    <t>Göteborg och Bohus FN-distrikt</t>
  </si>
  <si>
    <t>Hope in Action</t>
  </si>
  <si>
    <t>ILCO Riksförbundet för stomi- o reservoaropererade</t>
  </si>
  <si>
    <t>Imagenes del Sur/Bilder från Söder</t>
  </si>
  <si>
    <t>Initiatives of Change - Sverige</t>
  </si>
  <si>
    <t>Jali Experience</t>
  </si>
  <si>
    <t>Kongo Föreningen i Stockholm</t>
  </si>
  <si>
    <t>Kongo riksförbund i Sverige</t>
  </si>
  <si>
    <t>Kulturföreningen Djef Djel</t>
  </si>
  <si>
    <t>Kunskapsutveckling i Norden</t>
  </si>
  <si>
    <t>Livstycket</t>
  </si>
  <si>
    <t>Lärarförbundet Falkenberg</t>
  </si>
  <si>
    <t>Medborgarskolan Region Väst</t>
  </si>
  <si>
    <t>Partille Cup/Savehof</t>
  </si>
  <si>
    <t>Raices</t>
  </si>
  <si>
    <t>Redsea förening</t>
  </si>
  <si>
    <t>Regnskogsföreningen</t>
  </si>
  <si>
    <t>Reportrar utan gränser</t>
  </si>
  <si>
    <t>Internationella Kvinnoförbundet för Fred och Frihet</t>
  </si>
  <si>
    <t>Dövas Afrika Mission</t>
  </si>
  <si>
    <t>Evangelisk Luthersk Mission - Bibeltrogna Vänner</t>
  </si>
  <si>
    <t>Evangeliska Brödraförsamlingen</t>
  </si>
  <si>
    <t>Evangeliska Fosterlandsstiftelsen</t>
  </si>
  <si>
    <t>FHI Sverige</t>
  </si>
  <si>
    <t>Församlingen Arken</t>
  </si>
  <si>
    <t>MAF Sweden</t>
  </si>
  <si>
    <t>OM Sverige</t>
  </si>
  <si>
    <t>Sveriges Ekumeniska Kvinnoråd</t>
  </si>
  <si>
    <t>Syrisk Ortodoxa Kyrkan</t>
  </si>
  <si>
    <t>Trosgnistans Mission</t>
  </si>
  <si>
    <t>Ungdom med Uppgift</t>
  </si>
  <si>
    <t>Nordic-somalia förening</t>
  </si>
  <si>
    <t>Tot. Intäkter</t>
  </si>
  <si>
    <t>GISPROCESS AB</t>
  </si>
  <si>
    <t xml:space="preserve">Global Reporting Sweden AB </t>
  </si>
  <si>
    <t>GRM International AB</t>
  </si>
  <si>
    <t xml:space="preserve">Hifab International AB </t>
  </si>
  <si>
    <t>HR A-Z International</t>
  </si>
  <si>
    <t>Indevelop Sweden AB</t>
  </si>
  <si>
    <t>Neptunia Development</t>
  </si>
  <si>
    <t>NIRAS Natura AB</t>
  </si>
  <si>
    <t>Nordic Consulting Group</t>
  </si>
  <si>
    <t>Orgut Consulting AB</t>
  </si>
  <si>
    <t>PCA Consult &amp; Marketing</t>
  </si>
  <si>
    <t>Pontarius AB</t>
  </si>
  <si>
    <t>Respect Sustainable Business AB</t>
  </si>
  <si>
    <t>Sustainable Development Group International (SDGI)</t>
  </si>
  <si>
    <t xml:space="preserve">SDGI Consulting – Sweden </t>
  </si>
  <si>
    <t xml:space="preserve">SIPU International AB </t>
  </si>
  <si>
    <t>SMHI</t>
  </si>
  <si>
    <t>SSPA Sweden AB</t>
  </si>
  <si>
    <t xml:space="preserve">SWECO International AB </t>
  </si>
  <si>
    <t>Swedish Development Advisers AB</t>
  </si>
  <si>
    <t>WSP International Sweden AB</t>
  </si>
  <si>
    <t xml:space="preserve">ÅF-Consult AB  </t>
  </si>
  <si>
    <t>Medl. SE Consultants</t>
  </si>
  <si>
    <t>Anställda</t>
  </si>
  <si>
    <t>Anställda i SE</t>
  </si>
  <si>
    <t>Intäkter/anställd</t>
  </si>
  <si>
    <t>Intäkter fr Sida</t>
  </si>
  <si>
    <t>Andel intäkter fr Sida som andel av tot intäkter</t>
  </si>
  <si>
    <t>Resultat/anställd</t>
  </si>
  <si>
    <t>lönekostnader i SE</t>
  </si>
  <si>
    <t>sociala avgifter</t>
  </si>
  <si>
    <t>Adra/Adventistsamfundet</t>
  </si>
  <si>
    <t>Bolagsskatt</t>
  </si>
  <si>
    <t>Bolagsskatt attr till biståndsram</t>
  </si>
  <si>
    <t>Resultat (Netto)</t>
  </si>
  <si>
    <t>Intangible Assets (Goodwill)</t>
  </si>
  <si>
    <t>Professional Management Arne &amp; Barbro Svensson AB</t>
  </si>
  <si>
    <t>Life Academy</t>
  </si>
  <si>
    <t>Swedac</t>
  </si>
  <si>
    <t>KPMG</t>
  </si>
  <si>
    <t>SKL International AB</t>
  </si>
  <si>
    <t>NIR Näringslivets internationella råd</t>
  </si>
  <si>
    <t>Lantmäteriet</t>
  </si>
  <si>
    <t>IVL AB</t>
  </si>
  <si>
    <t>Integration International Management Consulting GMBH</t>
  </si>
  <si>
    <t>Prime Public Relations i SE AB</t>
  </si>
  <si>
    <t>Futurniture AB</t>
  </si>
  <si>
    <t>Statistiska Centralbyrån</t>
  </si>
  <si>
    <t xml:space="preserve">Citat AB </t>
  </si>
  <si>
    <t>Svensk Skogscertifiering AB</t>
  </si>
  <si>
    <t>PWC Sverige</t>
  </si>
  <si>
    <t xml:space="preserve">Grontmij International AB </t>
  </si>
  <si>
    <t>Fakturerar Sida &gt;1 milj. SEK 2013</t>
  </si>
  <si>
    <t>Läkare utan Gränser</t>
  </si>
  <si>
    <t xml:space="preserve">Naturvårdsverket              </t>
  </si>
  <si>
    <t xml:space="preserve">Havs- och vattenmyndigheten   </t>
  </si>
  <si>
    <t xml:space="preserve">Naturhistoriska Riksmuseet    </t>
  </si>
  <si>
    <t xml:space="preserve">Kammarkollegiet               </t>
  </si>
  <si>
    <t xml:space="preserve">Riksarkivet                   </t>
  </si>
  <si>
    <t xml:space="preserve">Länsstyrelsen i Östergötland  </t>
  </si>
  <si>
    <t xml:space="preserve">Trafikverket                  </t>
  </si>
  <si>
    <t xml:space="preserve">Exportkreditnämnden           </t>
  </si>
  <si>
    <t xml:space="preserve">Skogsstyrelsen                </t>
  </si>
  <si>
    <t xml:space="preserve">Statens fastighetsverk        </t>
  </si>
  <si>
    <t xml:space="preserve">Länsstyrelsen i Dalarnas län  </t>
  </si>
  <si>
    <t xml:space="preserve">Riksgäldskontoret             </t>
  </si>
  <si>
    <t xml:space="preserve">Stockholms universitet        </t>
  </si>
  <si>
    <t xml:space="preserve">Göteborgs universitet         </t>
  </si>
  <si>
    <t xml:space="preserve">Linnéuniversitetet            </t>
  </si>
  <si>
    <t>Sveriges lantbruksuniversittet</t>
  </si>
  <si>
    <t xml:space="preserve">Karolinska institutet         </t>
  </si>
  <si>
    <t xml:space="preserve">Svenska institutet            </t>
  </si>
  <si>
    <t xml:space="preserve">Kungliga tekniska högskolan   </t>
  </si>
  <si>
    <t xml:space="preserve">Umeå Universitet              </t>
  </si>
  <si>
    <t xml:space="preserve">Linköpings universitet        </t>
  </si>
  <si>
    <t xml:space="preserve">Nordiska Afrikainstitutet     </t>
  </si>
  <si>
    <t xml:space="preserve">Forskningsrådet för miljö mm  </t>
  </si>
  <si>
    <t xml:space="preserve">Högskolan Dalarna             </t>
  </si>
  <si>
    <t xml:space="preserve">Luleå tekniska universitet    </t>
  </si>
  <si>
    <t xml:space="preserve">Högskolan i Gävle             </t>
  </si>
  <si>
    <t xml:space="preserve">Högskolan i Skövde            </t>
  </si>
  <si>
    <t xml:space="preserve">Blekinge tekniska högskola    </t>
  </si>
  <si>
    <t xml:space="preserve">Högskolan Kristianstad        </t>
  </si>
  <si>
    <t xml:space="preserve">Vetenskapsrådet               </t>
  </si>
  <si>
    <t xml:space="preserve">Universitetskanslersämbetet   </t>
  </si>
  <si>
    <t>PAO</t>
  </si>
  <si>
    <t>Statens Folkhälsoinstitut</t>
  </si>
  <si>
    <t>Totalförsvarets forskningsinstitut</t>
  </si>
  <si>
    <t>Institut/Myndighet</t>
  </si>
  <si>
    <t>ICLD</t>
  </si>
  <si>
    <t>SIWI</t>
  </si>
  <si>
    <t>SEI</t>
  </si>
  <si>
    <t>Löner och soc.avg attr till biståndsram</t>
  </si>
  <si>
    <t>Årsred. insamlad efter kontakt</t>
  </si>
  <si>
    <t>Intäkter fr myndigheter</t>
  </si>
  <si>
    <t>Kontaktats via mejl med förfrågan om årsred.</t>
  </si>
  <si>
    <t>Skickat årsred.</t>
  </si>
  <si>
    <t>Konsultbolag/myndighet</t>
  </si>
  <si>
    <t>Swedfund International Ab</t>
  </si>
  <si>
    <t>Raoul Wallenberg Institute</t>
  </si>
  <si>
    <t>Dag Hammarskjölds Foundation</t>
  </si>
  <si>
    <t>Sis, Swedish Standards Institute</t>
  </si>
  <si>
    <t>Mistra Stiftelsen</t>
  </si>
  <si>
    <t>Handelshögskolan I Stockholm</t>
  </si>
  <si>
    <t>Chamber Trade</t>
  </si>
  <si>
    <t>Skatteverket</t>
  </si>
  <si>
    <t>Sustainable Business Mälardalen</t>
  </si>
  <si>
    <t>Sveriges Radio</t>
  </si>
  <si>
    <t>Kung. Vetenskasakademien</t>
  </si>
  <si>
    <t>Global Business Labs</t>
  </si>
  <si>
    <t>Stiftelsen Swecare</t>
  </si>
  <si>
    <t>Chalmers Tekniska Högskola</t>
  </si>
  <si>
    <t>Studio Jens Assur</t>
  </si>
  <si>
    <t>Int. Handelshögsk. I Jönköping</t>
  </si>
  <si>
    <t>Scandinavian Care Foundation</t>
  </si>
  <si>
    <t>Stiftelsen Tamasi Foundation</t>
  </si>
  <si>
    <t>Cultural Heritage Without Borders</t>
  </si>
  <si>
    <t>Stiftelsen Spinalis</t>
  </si>
  <si>
    <t>Män För Jämställdhet</t>
  </si>
  <si>
    <t>Svenska Barnmorskeförbundet</t>
  </si>
  <si>
    <t>Sbba /Swe Belarusian Business Association</t>
  </si>
  <si>
    <t>SP Sveriges Tekniska Forskningsinstitut</t>
  </si>
  <si>
    <t>SKR Sveriges Kvinno-Tjejjourers Riksförbund</t>
  </si>
  <si>
    <t>Riksförbundet Narkotikafritt Samhälle</t>
  </si>
  <si>
    <t>Försäkringskassan</t>
  </si>
  <si>
    <t>Antal medlorg</t>
  </si>
  <si>
    <t>Volontärer, ombud, praktikanter etc</t>
  </si>
  <si>
    <t>Personalkostnad i SE</t>
  </si>
  <si>
    <t>Sociala kostnader och pensionskostnader erlagda i Sverige</t>
  </si>
  <si>
    <t>Andel biståndram/intäkter bist.verks</t>
  </si>
  <si>
    <t>antal anställda i Sverige, biståndsverksamhet</t>
  </si>
  <si>
    <t>Perso. kostn + admin</t>
  </si>
  <si>
    <t>Not</t>
  </si>
  <si>
    <t>Totala intäkter uppgick till 207 miljoner Euro. Omöjligt att särskilja Sverige i redovisningen. Antag noll anställda och hela beloppet använt i Sverige för informationsverksamhet!</t>
  </si>
  <si>
    <t>varav från SMR</t>
  </si>
  <si>
    <t>varav från Forum Syd</t>
  </si>
  <si>
    <t>varav från andra org</t>
  </si>
  <si>
    <t>Andel biståndsverksamhet/tot intäkter (netto från vidareförmedling)</t>
  </si>
  <si>
    <t>Andel biståndsram /tot. intäkter (netto från vidareförmedling)</t>
  </si>
  <si>
    <t>Individuell Människohjälp</t>
  </si>
  <si>
    <t>Oxfam [HOLLAND!]</t>
  </si>
  <si>
    <t>Ej bidrag 2013</t>
  </si>
  <si>
    <t>Ofullständiga uppgifter</t>
  </si>
  <si>
    <t>Under 1 miljon, ej kollad</t>
  </si>
  <si>
    <t>IOGT-NTO:s internationella institut</t>
  </si>
  <si>
    <t>(från Sida enl Sida)</t>
  </si>
  <si>
    <t>Tot Sida-rapporterat + övrigrapporterat</t>
  </si>
  <si>
    <t>Personalkostnad i SE, tillskriven biståndsramen</t>
  </si>
  <si>
    <t>Personalkostnad tillskriven biståndsramen (med avdrag för administration)</t>
  </si>
  <si>
    <t>Alternativ beräkning (enbart personalkostnader efter adrag för admin)</t>
  </si>
  <si>
    <t>Har enbart erhållit informationsbidrag</t>
  </si>
  <si>
    <t>"Tack för erbjudandet att vara med i ert analytiska arbete. Vi är dock nöjda med den noggranna granskning som finns alla våra givaravtal och får hänvisa till givarnas dokumentation. Bästa hälsningar, Martin Ängeby, Generalsekreterare"</t>
  </si>
  <si>
    <t>Lämnade uppgifter via mail av Maria Folkegård Falk 2010-10-07</t>
  </si>
  <si>
    <t>Årsredovisningen saknar information om personalens placering alt personalkostnadens geografiska fördelning</t>
  </si>
  <si>
    <t>www.svetan.org</t>
  </si>
  <si>
    <t>Sidas bokf</t>
  </si>
  <si>
    <t>http://cpcd.ba/en/history.html</t>
  </si>
  <si>
    <t>CPD - Civil Society Promotion</t>
  </si>
  <si>
    <t>Utland</t>
  </si>
  <si>
    <t>Council of the Baltic sea states</t>
  </si>
  <si>
    <t>Int org</t>
  </si>
  <si>
    <t>http://www.cbss.org/ Stockholmsbaserade. Stödet utgör sannolikt direkt stöd för sekretarietet.</t>
  </si>
  <si>
    <t>Counselling Services Unit (CSU( Zimbabwe</t>
  </si>
  <si>
    <t>Danish Refugee Council</t>
  </si>
  <si>
    <t>http://www.content.eisa.org.za/</t>
  </si>
  <si>
    <t>EISA, Electoral institutional stability</t>
  </si>
  <si>
    <t>Emåförbundet</t>
  </si>
  <si>
    <t>Femina HIP Ltd</t>
  </si>
  <si>
    <t>http://www.feminahip.or.tz/femina-hip/home/</t>
  </si>
  <si>
    <t>Fores</t>
  </si>
  <si>
    <t>Tankesmedja</t>
  </si>
  <si>
    <t>Färgfabriken</t>
  </si>
  <si>
    <t>Planeringsstöd</t>
  </si>
  <si>
    <t>Övriga</t>
  </si>
  <si>
    <t>Georange</t>
  </si>
  <si>
    <t>www.georange.se GEORANGE Ideella Förening är en samordnande intresseorganisa-tion med sin främsta utgångspunkt i Sveriges malm- och mineral-tillgångar. Föreningens huvudsakliga uppgift är att bredda synen på samhälls- och näringslivsutveckling kring gruv- och mineralindustrin, i syfte att skapa förutsättningar för utveckling av nya och befintliga företag</t>
  </si>
  <si>
    <t>Global Utmaning</t>
  </si>
  <si>
    <t>Svenska regioner/kommuner</t>
  </si>
  <si>
    <t>Insamlingsstiftelsen Sustainable</t>
  </si>
  <si>
    <t>Stiftelse</t>
  </si>
  <si>
    <t>"B4D Globe Award"</t>
  </si>
  <si>
    <t>Institutionen för livsmedel och bioteknik</t>
  </si>
  <si>
    <t>International IDEA</t>
  </si>
  <si>
    <t>Isymp / Intern stift young masters</t>
  </si>
  <si>
    <t>IVA, Ingenjörsvetenskapsakademin</t>
  </si>
  <si>
    <t>Stiftelsen Östekonomiska Institutet (SITE)</t>
  </si>
  <si>
    <t>CSO</t>
  </si>
  <si>
    <t>JB Global Advice</t>
  </si>
  <si>
    <t>Kommunförbundet Skåne</t>
  </si>
  <si>
    <t>LHRC (Legal and human rights centre)</t>
  </si>
  <si>
    <t>Media council of Tanzania</t>
  </si>
  <si>
    <t>Pingo's forum</t>
  </si>
  <si>
    <t>Primärvården Skåne</t>
  </si>
  <si>
    <t>RCN, Justice and Democratie</t>
  </si>
  <si>
    <t>Repoa</t>
  </si>
  <si>
    <t>SIPRI</t>
  </si>
  <si>
    <t>Privat</t>
  </si>
  <si>
    <t>Utbildning</t>
  </si>
  <si>
    <t>Nordiska Högskolan för folkhälsovetenskap</t>
  </si>
  <si>
    <t>Social Entrepreneurship Forum</t>
  </si>
  <si>
    <t>Stiftelsen Forskning och Framsteg</t>
  </si>
  <si>
    <t>Stiftelsen Reach for change</t>
  </si>
  <si>
    <t>Svenska läkarsällskapet</t>
  </si>
  <si>
    <t>UNDP</t>
  </si>
  <si>
    <t>UNPC, Union of Tanzania Press Club</t>
  </si>
  <si>
    <t>WANEP</t>
  </si>
  <si>
    <t>ZLSC, Zanzibar Legal Service Centre</t>
  </si>
  <si>
    <t>21 CENTURY FRONTIERS</t>
  </si>
  <si>
    <t>AB ECOLIFE-HAMMARBY OMLADINAC</t>
  </si>
  <si>
    <t>DCAC ENTERPRISE AB</t>
  </si>
  <si>
    <t>DESIGN UNITED AB</t>
  </si>
  <si>
    <t>FÖRENINGEN ARBETARRÖRELSENS</t>
  </si>
  <si>
    <t>HIERTANÄMNDEN</t>
  </si>
  <si>
    <t>IDE UK</t>
  </si>
  <si>
    <t>IGNITIA AB</t>
  </si>
  <si>
    <t>IMPACT MINING INVESTMENTS AB</t>
  </si>
  <si>
    <t>INNOVATION PIONEERS INTERNATIONAL</t>
  </si>
  <si>
    <t>KAIROS FUTURE AB</t>
  </si>
  <si>
    <t>LANN CARIN AB  /LANN UTV.KOSULTER</t>
  </si>
  <si>
    <t>LCS PROMOTION INT AB</t>
  </si>
  <si>
    <t>LFV AVIATION CONSULTING AB</t>
  </si>
  <si>
    <t>MINESTO AB</t>
  </si>
  <si>
    <t>NEOZEO AB</t>
  </si>
  <si>
    <t>PAMOJA CLEANTECH AB</t>
  </si>
  <si>
    <t>PLO MISSION OF PALESTINE</t>
  </si>
  <si>
    <t>RED HORN MUSIC AB</t>
  </si>
  <si>
    <t>RENT-TO-OWN ZAMBIA LTD</t>
  </si>
  <si>
    <t>SEE MY TREE AB</t>
  </si>
  <si>
    <t>SMYCKEN &amp; SMÅTT, HELENA HALLBERG</t>
  </si>
  <si>
    <t>SOUND OF GREEN</t>
  </si>
  <si>
    <t>SVERIGES KONSUMENTER</t>
  </si>
  <si>
    <t>TELLUX AB</t>
  </si>
  <si>
    <t>TRICORONA CLIMATE PARTNER AB</t>
  </si>
  <si>
    <t>VIGMED AB</t>
  </si>
  <si>
    <t>WTM I MUNKA LJUNGBY AB</t>
  </si>
  <si>
    <t>Business Sweden (Exportrådet)</t>
  </si>
  <si>
    <t>SWITCH RESPONSIBLE VENTURES AB</t>
  </si>
  <si>
    <t>ANSHELM INNOVATION AB</t>
  </si>
  <si>
    <t>EDV-TEKNIK</t>
  </si>
  <si>
    <t>NADIA EL-IMAM</t>
  </si>
  <si>
    <t>NIRAS AB</t>
  </si>
  <si>
    <t>ABAKO INTERNATIONAL PARTNERS</t>
  </si>
  <si>
    <t>ABSOLICON SOLAR COLLECTOR AB</t>
  </si>
  <si>
    <t>ADAPT CONSULTING</t>
  </si>
  <si>
    <t>ADEP - ANOTHER DEVELOPMENT PERS.</t>
  </si>
  <si>
    <t>AKKADIA CONSULTING AB</t>
  </si>
  <si>
    <t>AMANDA ERICSSON</t>
  </si>
  <si>
    <t>ANDERS ERIKSSON</t>
  </si>
  <si>
    <t>ANN KÄMPE</t>
  </si>
  <si>
    <t>ANNA P MEDIA</t>
  </si>
  <si>
    <t>ANNA ÅKERLUND</t>
  </si>
  <si>
    <t>ANNE OUMA</t>
  </si>
  <si>
    <t>ANRIKA QUALITY SERVICES AB</t>
  </si>
  <si>
    <t>AV-HUSET LJUD &amp; BILDTEKNIK STOCKH</t>
  </si>
  <si>
    <t>CHRISTER BLOMSTRAND</t>
  </si>
  <si>
    <t>COLLING WATER MANAGEMENT AB</t>
  </si>
  <si>
    <t>CRIMO CREATIVE AB</t>
  </si>
  <si>
    <t>DEVFIN ADVISERS AB</t>
  </si>
  <si>
    <t>DINERS CLUB NORDIC AB</t>
  </si>
  <si>
    <t>DONALD BOSTRÖM AB</t>
  </si>
  <si>
    <t>DUMPS TEES AB</t>
  </si>
  <si>
    <t>DUREVALL, DICK</t>
  </si>
  <si>
    <t>ENWE-FISK HB</t>
  </si>
  <si>
    <t>FAMILJEBARNMORSKA</t>
  </si>
  <si>
    <t>FIRMA JONAS LÖVKRONA</t>
  </si>
  <si>
    <t>GABRIELLA SILFWERBRAND</t>
  </si>
  <si>
    <t>GIANT FILM PRODUCTION HB MARIKA</t>
  </si>
  <si>
    <t>GULLERS GRUPP INFO.RÅDGIVARE AB</t>
  </si>
  <si>
    <t>GUNILLA WIKLUND ESSNER</t>
  </si>
  <si>
    <t>GW DEVELOP GÖSTA WERNER</t>
  </si>
  <si>
    <t>GÄRDE WESSLAU ADVOKATBYRÅ KB</t>
  </si>
  <si>
    <t>HANDELSBANKEN/SHB</t>
  </si>
  <si>
    <t>HENRIC THÖRNBERG CONSULTING</t>
  </si>
  <si>
    <t>HYDROPOLIS CONSULTING</t>
  </si>
  <si>
    <t>HÅKAN MARSTORP</t>
  </si>
  <si>
    <t>INGVAR SPANNE KONSULT AB</t>
  </si>
  <si>
    <t>JACOB SVENSSON &amp; PARTNERS HB</t>
  </si>
  <si>
    <t>KARIN NYQUIST ARKITEKTKONTOR</t>
  </si>
  <si>
    <t>KENCHA/ KENNETH CHALLIS</t>
  </si>
  <si>
    <t>KONSULENTNETVAERKET</t>
  </si>
  <si>
    <t>KONSULTFIRMA JOHAN LEXELL</t>
  </si>
  <si>
    <t>KOSANA CONSULTING AB</t>
  </si>
  <si>
    <t>KÄRN IT AB</t>
  </si>
  <si>
    <t>KÖMNEVIK MANAGEMENT AB</t>
  </si>
  <si>
    <t>LARREA KONSULT</t>
  </si>
  <si>
    <t>MAGNUS LINTON PRODUKTION</t>
  </si>
  <si>
    <t>MARINE MONITORING AB</t>
  </si>
  <si>
    <t>MCI SCANDINAVIA AB</t>
  </si>
  <si>
    <t>MELANDER SCHNELL CONSULTANTS</t>
  </si>
  <si>
    <t>MIDEK AB</t>
  </si>
  <si>
    <t>MIKAEL BOTNEN DIAMANT CONSULT AB</t>
  </si>
  <si>
    <t>MIKAEL SÖDERBÄCK</t>
  </si>
  <si>
    <t>MOORE STEPHENS LLP</t>
  </si>
  <si>
    <t>NCG - NORDIC CONSULTING GROUP</t>
  </si>
  <si>
    <t>NILS JENSEN CONSULTING</t>
  </si>
  <si>
    <t>POLARBRÖD AB</t>
  </si>
  <si>
    <t>PROMENTE</t>
  </si>
  <si>
    <t>RAMCOMP INTERNATIONAL AB</t>
  </si>
  <si>
    <t>RAMVIK TRÄDGÅRD KB</t>
  </si>
  <si>
    <t>REGERINGSKANSLIET/UTRIKESDEPART.</t>
  </si>
  <si>
    <t>RÅD&amp;DÅD</t>
  </si>
  <si>
    <t>SAMUEL APPIAH-KUBI</t>
  </si>
  <si>
    <t>SAPSAMA AB</t>
  </si>
  <si>
    <t>SE STIFTELSEN FÖR INTERNET</t>
  </si>
  <si>
    <t>SEEBA AB</t>
  </si>
  <si>
    <t>SLU</t>
  </si>
  <si>
    <t>SPM CONSULTANTS KB</t>
  </si>
  <si>
    <t>SPRÅKKONSULTERNA PRODICTA AB</t>
  </si>
  <si>
    <t>STIFT FRIVILLORG FOND F MÄNSKLIGA</t>
  </si>
  <si>
    <t>STIG EGNELL AB</t>
  </si>
  <si>
    <t>STRANDBERG &amp; HAAGE AB</t>
  </si>
  <si>
    <t>STUART A. SLORACH KONSULT</t>
  </si>
  <si>
    <t>STURE HJELM AB</t>
  </si>
  <si>
    <t>SWECO ENVIRONMENT AB</t>
  </si>
  <si>
    <t>SWEDISH DEVELOPMENT ADVISERS</t>
  </si>
  <si>
    <t>TAXI HÄRNÖSAND</t>
  </si>
  <si>
    <t>TECHNICHUS I MITTSVERIGE AB</t>
  </si>
  <si>
    <t>THE GOOD TRIBE AB</t>
  </si>
  <si>
    <t>TINKIT WEBBSTUDIO</t>
  </si>
  <si>
    <t>TRANSNY</t>
  </si>
  <si>
    <t>TUPO MEDIA</t>
  </si>
  <si>
    <t>ULF MAGNUSSON</t>
  </si>
  <si>
    <t>VYLDER DE STEFAN EKONOMIKONSULT A</t>
  </si>
  <si>
    <t>W&amp;B GLOBAL CONSULTING HB</t>
  </si>
  <si>
    <t>WEBHALLEN SVERIGE AB/KLARNA AB</t>
  </si>
  <si>
    <t>WHAT NEXT EXCHANGE</t>
  </si>
  <si>
    <t>ZEWDL ASSEFAW</t>
  </si>
  <si>
    <t>CONSULATE GENERAL OF SWEDEN</t>
  </si>
  <si>
    <t>DHL</t>
  </si>
  <si>
    <t>FOLKUNIVERSITETET</t>
  </si>
  <si>
    <t>GUNNARTZ ANDERS</t>
  </si>
  <si>
    <t>KANDIDATA ONLINE SEARCH AB</t>
  </si>
  <si>
    <t>ROSIE RESTAURANG</t>
  </si>
  <si>
    <t>SACT AB</t>
  </si>
  <si>
    <t>SCANDIC HOTELS</t>
  </si>
  <si>
    <t>SPACE 360</t>
  </si>
  <si>
    <t>SPRÅKSERVICE SVERIGE AB</t>
  </si>
  <si>
    <t>TINY GLOBE</t>
  </si>
  <si>
    <t>WALLINS MATSALAR AB</t>
  </si>
  <si>
    <t>id</t>
  </si>
  <si>
    <t>antal år</t>
  </si>
  <si>
    <t>total</t>
  </si>
  <si>
    <t>personal</t>
  </si>
  <si>
    <t>personal i SE</t>
  </si>
  <si>
    <t xml:space="preserve"> summa utomlands</t>
  </si>
  <si>
    <t>Varav PhD stud</t>
  </si>
  <si>
    <t>lönek SE</t>
  </si>
  <si>
    <t>beviljat</t>
  </si>
  <si>
    <t>bevandel</t>
  </si>
  <si>
    <t>utomlands</t>
  </si>
  <si>
    <t>Info i mail</t>
  </si>
  <si>
    <t>Vidareförmedlat registrerat i andra flikar</t>
  </si>
  <si>
    <t>Ramorganisationer</t>
  </si>
  <si>
    <t>SMR-medlemmar &gt; 1 miljon</t>
  </si>
  <si>
    <t>Organisationer &lt; 1 miljon</t>
  </si>
  <si>
    <t>Övriga organisationer &gt; 1 miljon</t>
  </si>
  <si>
    <t>Forum Syd-medlemmar &gt; 1 miljon</t>
  </si>
  <si>
    <t>CSO utan bidrag</t>
  </si>
  <si>
    <t>Totalt</t>
  </si>
  <si>
    <t>Antal</t>
  </si>
  <si>
    <t>Andel</t>
  </si>
  <si>
    <t>Alternativ beräkning</t>
  </si>
  <si>
    <t>Forskningsinstitut</t>
  </si>
  <si>
    <t>Näringslivssamverkan</t>
  </si>
  <si>
    <t>Fakturerar Sida&gt;1 milj. SEK 2013</t>
  </si>
  <si>
    <t>Ingen fakturering Sida</t>
  </si>
  <si>
    <t>EY (Ernst &amp; Young)</t>
  </si>
  <si>
    <t>Anv ej</t>
  </si>
  <si>
    <t>Personalkostnader attr till biståndsram</t>
  </si>
  <si>
    <t>Privat sektor &gt; 1 miljon</t>
  </si>
  <si>
    <t>Privat sektor &lt; 1 miljon</t>
  </si>
  <si>
    <t>Universitets och högskolerådet</t>
  </si>
  <si>
    <t>Övriga verksamhetskostnader</t>
  </si>
  <si>
    <t>Tot personalkostnader</t>
  </si>
  <si>
    <t>vidareförmedlat</t>
  </si>
  <si>
    <t>Perskostnattr till biståndsram</t>
  </si>
  <si>
    <t>Uppsala universitet</t>
  </si>
  <si>
    <t>Andel intäkter fr Sida som andel av tot intäkter (netto antagen användning i utlandet)</t>
  </si>
  <si>
    <t>Uppskattad användning i SE</t>
  </si>
  <si>
    <t>Helårsstudenter</t>
  </si>
  <si>
    <t>antal</t>
  </si>
  <si>
    <t>kostnad TKR</t>
  </si>
  <si>
    <t>tot int MKR</t>
  </si>
  <si>
    <t>tot kost MKR</t>
  </si>
  <si>
    <t>tot</t>
  </si>
  <si>
    <t>HumSam</t>
  </si>
  <si>
    <t>MedFarm</t>
  </si>
  <si>
    <t>TekNat</t>
  </si>
  <si>
    <t>Studieavgiftsbetalande</t>
  </si>
  <si>
    <t>int per stud</t>
  </si>
  <si>
    <t>Andel personal tot kostn</t>
  </si>
  <si>
    <t>Tot kostn</t>
  </si>
  <si>
    <t>TakNat</t>
  </si>
  <si>
    <t>Total studieavgifter RIKET</t>
  </si>
  <si>
    <t>Uträknad personal/perskostnad</t>
  </si>
  <si>
    <t>MFS-stipendier</t>
  </si>
  <si>
    <t>Palme</t>
  </si>
  <si>
    <t>MSB</t>
  </si>
  <si>
    <t>Myndighet</t>
  </si>
  <si>
    <t>Väldigt kort beskrivning av verksamheten i ÅB. Forskningsbidrag från Sida redovisas (36 miljoner), i övrigt att ISP (ung 10 anställda enl hemsidan) och SWEDESD finansieras av Sida. Tjänsteexport redovisas i klump.</t>
  </si>
  <si>
    <t>Organisationsstöd ReAct (10,8'') och ISP</t>
  </si>
  <si>
    <t>Från Sida (mkr)</t>
  </si>
  <si>
    <t>Delposter tagna ur Sidas redovisning.</t>
  </si>
  <si>
    <t>Antagen del i SE</t>
  </si>
  <si>
    <t>Organisationsstöd</t>
  </si>
  <si>
    <t>Informationsinsatser</t>
  </si>
  <si>
    <t>SWEDESD</t>
  </si>
  <si>
    <t>Stöd till specifika program</t>
  </si>
  <si>
    <t>Antagen administration om 8% av beloppet för användning i SE</t>
  </si>
  <si>
    <t>Utbildn samarbländ</t>
  </si>
  <si>
    <t>Forskn prog RWA</t>
  </si>
  <si>
    <t>Övrigt</t>
  </si>
  <si>
    <t>Total</t>
  </si>
  <si>
    <t>Div verks.</t>
  </si>
  <si>
    <t>Belopp SE</t>
  </si>
  <si>
    <t>Lunds universitet</t>
  </si>
  <si>
    <t>utbildningsprogram i SE</t>
  </si>
  <si>
    <t>speciella program</t>
  </si>
  <si>
    <t>projektstöd</t>
  </si>
  <si>
    <t>subtot</t>
  </si>
  <si>
    <t>Organisationsstöd (ISP förefaller vara treårigt klumpstöd - beakta vid personalkostnadsberäkning!)</t>
  </si>
  <si>
    <t>Se detaljerad uträkning under fliken EDU uträkningar</t>
  </si>
  <si>
    <t>andel Sida-medel använda i SE</t>
  </si>
  <si>
    <t>Stockholm</t>
  </si>
  <si>
    <t>SPIDER orgstöd</t>
  </si>
  <si>
    <t>SwedBio (SRC)</t>
  </si>
  <si>
    <t>Samarbetsland &amp; specprog</t>
  </si>
  <si>
    <t>Övrigt (enb SE)</t>
  </si>
  <si>
    <t>Gbg</t>
  </si>
  <si>
    <t>Fojo</t>
  </si>
  <si>
    <t>Tot</t>
  </si>
  <si>
    <t>rest (utomlands)</t>
  </si>
  <si>
    <t>utbildn SE + metod</t>
  </si>
  <si>
    <t>KI</t>
  </si>
  <si>
    <t>utlan</t>
  </si>
  <si>
    <t>SE</t>
  </si>
  <si>
    <t>SI</t>
  </si>
  <si>
    <t>creative force</t>
  </si>
  <si>
    <t>SI:s ÅR uppdelad efter anslagsposter och redovisar förvaltningskostn separat.</t>
  </si>
  <si>
    <t>journalisutb utland</t>
  </si>
  <si>
    <t>Event</t>
  </si>
  <si>
    <t>Expertbesök</t>
  </si>
  <si>
    <t>Ledarskapsprogram</t>
  </si>
  <si>
    <t>Stipendier o utbyte. Antag 50% användning inom SE - oklart hur fördelas</t>
  </si>
  <si>
    <t>Antag 50% användning inom SE - oklart hur fördelas</t>
  </si>
  <si>
    <t>informarion i utl</t>
  </si>
  <si>
    <t>stipendieprogramment (10 st)</t>
  </si>
  <si>
    <t>alumn o stip</t>
  </si>
  <si>
    <t>förvaltningskostnader</t>
  </si>
  <si>
    <t>Förvaltningskostnader totalt</t>
  </si>
  <si>
    <t>Andel biståndet</t>
  </si>
  <si>
    <t>antal årsarbetskrafter</t>
  </si>
  <si>
    <t>SI:s ÅR uppdelad efter anslagsposter och redovisar förvaltningskostn (inkl personalkostn) separat.</t>
  </si>
  <si>
    <t>Lund</t>
  </si>
  <si>
    <t>0.032 mkr från Sidas 73-konto antages inkluderat</t>
  </si>
  <si>
    <t>KTH</t>
  </si>
  <si>
    <t>Allt i utland</t>
  </si>
  <si>
    <t>Utbildningsprog. i samarb.länd.</t>
  </si>
  <si>
    <t>Prog i Umeå</t>
  </si>
  <si>
    <t>I utland</t>
  </si>
  <si>
    <t>Umeå</t>
  </si>
  <si>
    <t>I linköping</t>
  </si>
  <si>
    <t>linköping</t>
  </si>
  <si>
    <t>NAI</t>
  </si>
  <si>
    <t>Från Sida enl myndighetssamverkan</t>
  </si>
  <si>
    <t>Seminarieverksamhet i afrikanska länder</t>
  </si>
  <si>
    <t>Tilldelning</t>
  </si>
  <si>
    <t>Nätbaserad undervisning (denna post redovisas även i kontogr 33 i Sidas redovisning)</t>
  </si>
  <si>
    <t>Utbildningforskning</t>
  </si>
  <si>
    <t>Aktörssamverkan - antag 50%</t>
  </si>
  <si>
    <t>Cityblues (orgstöd?)</t>
  </si>
  <si>
    <t>Metodutveckling</t>
  </si>
  <si>
    <t>Ram</t>
  </si>
  <si>
    <t>bist</t>
  </si>
  <si>
    <t>an</t>
  </si>
  <si>
    <t>var</t>
  </si>
  <si>
    <t>SMR</t>
  </si>
  <si>
    <t>Andel Sida-medel använda i SE</t>
  </si>
  <si>
    <t>Beloppet avser 111,433 i beredskap för insatser (avräkning) och 102,009 för genomförda insatser (anges i ÅR som 133,8 på sid 35, eller 126,1, sid 58 med tillägg att försvarsdep ska betala transportkostnaderna. Antar att 102 är kostn för Sida)</t>
  </si>
  <si>
    <t>Antar att de 5.611014 från konto 737 ingår i beloppet och att denna del används direkt i utlandet</t>
  </si>
  <si>
    <t>SCB</t>
  </si>
  <si>
    <t>Tjänsteexport</t>
  </si>
  <si>
    <t>Från Sida</t>
  </si>
  <si>
    <t>andel</t>
  </si>
  <si>
    <t>Antal korttidskonsulter</t>
  </si>
  <si>
    <t>för biståndet</t>
  </si>
  <si>
    <t>helårsarbeten</t>
  </si>
  <si>
    <t>Antag adminkost</t>
  </si>
  <si>
    <t>Antag arbetar 30% per år i SE</t>
  </si>
  <si>
    <t>Personalkostnad/åa i redovisningen</t>
  </si>
  <si>
    <t>Personalkostn kons i SE</t>
  </si>
  <si>
    <t>Tot anv i SE</t>
  </si>
  <si>
    <t>Kemikalieinspektionen</t>
  </si>
  <si>
    <t>Rikspolisstyrelsen</t>
  </si>
  <si>
    <t>Antag utlandsstationering, enbart admin. Antar också att 25.792288 miljoner fr Sida ingår</t>
  </si>
  <si>
    <t>Världssjöuniversitetet (World Maritime University, WMU)</t>
  </si>
  <si>
    <t>Ligger under IMO (international maritime organization)</t>
  </si>
  <si>
    <t>Redovisar för IMO och konsoliderat. Konsolifderat innehåller både WMO och IMLI (baserat på Malta)</t>
  </si>
  <si>
    <t>Totala intäkter</t>
  </si>
  <si>
    <t>konsoliderat</t>
  </si>
  <si>
    <t>IMO</t>
  </si>
  <si>
    <t>Växelkurs SEK/EUR (snitt 2013, riksbanken)</t>
  </si>
  <si>
    <t>Växelkurs GBP/EUR (använd enligt årsberättelse)</t>
  </si>
  <si>
    <t>Redovisning finns enbart för 2012. Använd denna som proxy</t>
  </si>
  <si>
    <t>perskostn</t>
  </si>
  <si>
    <t>totkostn</t>
  </si>
  <si>
    <t>WMO o IMLI</t>
  </si>
  <si>
    <t>SEK</t>
  </si>
  <si>
    <t>Personalandel</t>
  </si>
  <si>
    <t>Antal personal</t>
  </si>
  <si>
    <t>IMLI</t>
  </si>
  <si>
    <t>WMO</t>
  </si>
  <si>
    <t>Kostnad per person</t>
  </si>
  <si>
    <t>Sveriges bistånd till WMO</t>
  </si>
  <si>
    <t>perskostnad</t>
  </si>
  <si>
    <t>BEROC o MSPS antas fullt ut användas i utlandet med 8% admin i SE, resten räknas som kärnstöd</t>
  </si>
  <si>
    <t>Har en financial statement</t>
  </si>
  <si>
    <t>Antal personal (november 2014)</t>
  </si>
  <si>
    <t>Tot tjänsteexp</t>
  </si>
  <si>
    <t>Antagen användning i SE</t>
  </si>
  <si>
    <t>Atnal ÅA tjänsteexport (s 22 årsredov)</t>
  </si>
  <si>
    <t>ÅA bistånd</t>
  </si>
  <si>
    <t>vara i SE</t>
  </si>
  <si>
    <t>Medel i SE</t>
  </si>
  <si>
    <t>Efter genomgången ÅR, antag 50% i SE</t>
  </si>
  <si>
    <t>Kommerskollegium</t>
  </si>
  <si>
    <t>5 mij är "utbildnprog i samarbetsland (85 i adm) resten antag 50%.</t>
  </si>
  <si>
    <t>SGU</t>
  </si>
  <si>
    <t>Främst i utvland. Antag 8%</t>
  </si>
  <si>
    <t>PRV</t>
  </si>
  <si>
    <t>Enbart utbildn i SE. Uppg. avser verksgren presenterad i avsnitt 5.3</t>
  </si>
  <si>
    <t>Regeringskansliet</t>
  </si>
  <si>
    <t>RK</t>
  </si>
  <si>
    <t>Totalt UO7</t>
  </si>
  <si>
    <t>EBA &amp; SADEV</t>
  </si>
  <si>
    <t>Årsarbeten EBA 2013</t>
  </si>
  <si>
    <t>Varav Stockholm internet forum 2013</t>
  </si>
  <si>
    <t>Övriga ÅA antas finnas med i avräkningen!</t>
  </si>
  <si>
    <t>östeuropa</t>
  </si>
  <si>
    <t>Statens Jordbruksverk</t>
  </si>
  <si>
    <t>FBA</t>
  </si>
  <si>
    <t>ap4</t>
  </si>
  <si>
    <t>ap10</t>
  </si>
  <si>
    <t>ap42</t>
  </si>
  <si>
    <t>ap2</t>
  </si>
  <si>
    <t>ap7</t>
  </si>
  <si>
    <t>2 milj direkt i SE, resten 50%</t>
  </si>
  <si>
    <t>Tillväxtverket</t>
  </si>
  <si>
    <t>Uppdelat Verkskostn o transfereringar i ÅR, antag verkskostn i SE</t>
  </si>
  <si>
    <t>Arbetsförmedlingen</t>
  </si>
  <si>
    <t>Utbildn prog i SE = 100%, övrigt = 8%</t>
  </si>
  <si>
    <t>Smittskyddsinstitutet</t>
  </si>
  <si>
    <t>1.6 i samarbland (8%), resten 50%</t>
  </si>
  <si>
    <t>Strålsäkerhetsmyndigheten</t>
  </si>
  <si>
    <t>Östeuropa, antag 50%</t>
  </si>
  <si>
    <t>Domstolsverket</t>
  </si>
  <si>
    <t>1,692 i BP, 5,255 från Sida. Antag 50% i SE. 3,7 åa från tabell 39 i år.</t>
  </si>
  <si>
    <t>ESV</t>
  </si>
  <si>
    <t>Twinning. Räkna 50%</t>
  </si>
  <si>
    <t>Energimyndigheten</t>
  </si>
  <si>
    <t>Antag 50%</t>
  </si>
  <si>
    <t>Statens Kulturråd</t>
  </si>
  <si>
    <t>Aktörssamverkan, antag 50%. (Bidrag till svanska org - dvs ej enbart anställning på myndigheten!)</t>
  </si>
  <si>
    <t>Kronofogdemyndigheten</t>
  </si>
  <si>
    <t>Skolinspektionen</t>
  </si>
  <si>
    <t>LFV</t>
  </si>
  <si>
    <t>Medlingsinstitutet</t>
  </si>
  <si>
    <t>Antag 50% (inkl konto 7339)</t>
  </si>
  <si>
    <t>På plats i UKR, end adm</t>
  </si>
  <si>
    <t>Forum för levande historia</t>
  </si>
  <si>
    <t>Konkurrensverket</t>
  </si>
  <si>
    <t>Kostnad per pers</t>
  </si>
  <si>
    <t>Kriminalvården</t>
  </si>
  <si>
    <t>Intäkter fr bistramen</t>
  </si>
  <si>
    <t>Antag garantiavgifter utomlands enbart</t>
  </si>
  <si>
    <t>Antag insatser, enbart 8% admin</t>
  </si>
  <si>
    <t>andel perskostn</t>
  </si>
  <si>
    <t>Antag 50%, personal som andel perskostn*anv i SE /kostnad per pers (där medel fr övriga myndigheter används)</t>
  </si>
  <si>
    <t>Personlig kommunikation med Göran Lindqvist, SHH</t>
  </si>
  <si>
    <t>Sveriges riksbank</t>
  </si>
  <si>
    <t>Antag 50%, taknisk assistans e.g. Namibia. Personal som andel perskostn*anv i SE /kostnad per pers (där medel fr övriga myndigheter används)</t>
  </si>
  <si>
    <t>Riksrevisionen</t>
  </si>
  <si>
    <t>80% av landprogrammen och övrigt antas anv i SE, AFROSAI främst sekondering o verks i utland - 8% i adm. (15,3 årsarbetskrafter i verksamheten totalt (29383timmar/1920) antag 3 utstationerade - lokalanställda räknas ej)</t>
  </si>
  <si>
    <t>Statliga myndigheter</t>
  </si>
  <si>
    <t>Statligt AB</t>
  </si>
  <si>
    <t>Stiftelseägt AB</t>
  </si>
  <si>
    <t>Antag internationella utbildningsprogram 50%, övrigt enbart SE</t>
  </si>
  <si>
    <t>Andel Sidamedel</t>
  </si>
  <si>
    <t>I Sidas redovisning summerar SKL och SKL internat till 43.165 miljoner. Antar här att ÅR för AB redovisar korrekt och inget på SKL centralt. Antag 50% av verksamehten förlagd i SE</t>
  </si>
  <si>
    <t>Bidrag CeFam (konto 7321)</t>
  </si>
  <si>
    <t>Linköpings kommun</t>
  </si>
  <si>
    <t>Malmö museer</t>
  </si>
  <si>
    <t>Stockholms läns landsting</t>
  </si>
  <si>
    <t>Sundsvalls kommun</t>
  </si>
  <si>
    <t>Säffle-Åmål</t>
  </si>
  <si>
    <t>Tibro kommun</t>
  </si>
  <si>
    <t>Främst bidrag för capacity building, antag 50% i SE</t>
  </si>
  <si>
    <t>737 ("furniture design cooperation")</t>
  </si>
  <si>
    <t>Antag 100%. http://www.eman.se/ Emåförbundet är en sammanslutning av kommuner, länsstyrelser och industriföretag, m.fl. inom Emåns avrinningsområde. Vårt syfte är att verka för ett uthålligt nyttjande av Emån</t>
  </si>
  <si>
    <t>Antag 100%</t>
  </si>
  <si>
    <t>Avser kapitaltillskott till bolaget. Antag 0 i SE, räkna alla 400 som använda oavsett utdelning till staten.</t>
  </si>
  <si>
    <t>Övrig offentlig sektor</t>
  </si>
  <si>
    <t>summa SE</t>
  </si>
  <si>
    <t>andel SE</t>
  </si>
  <si>
    <t>Verksamhet förenlig med SWEDFUNDS instruktion samt admin (4 milj) av detta. Samt 0.531 miljoner från tjänsteexport enligt Sidas redovisning</t>
  </si>
  <si>
    <t>Kärnstöd/basbudget</t>
  </si>
  <si>
    <t>Fyra program (6.4+5.2+10.4=25.6 miljoner) främst utomlands (30% i SE), resten i SE</t>
  </si>
  <si>
    <t xml:space="preserve"> 37.667124 i forskningsanslag antag 50% samt resten helt i SE</t>
  </si>
  <si>
    <t>25 miljoner förefaller core support, resten namngivna projekt, antag 8% (lågt)</t>
  </si>
  <si>
    <t>Gissningsvis hälften med adminkost och studieresor till Sverige inkluderade. 11 anställda 2014</t>
  </si>
  <si>
    <t>Admin = 9.903. Antag allt är kärnstöd</t>
  </si>
  <si>
    <t>totala perskostn</t>
  </si>
  <si>
    <t>total kostn</t>
  </si>
  <si>
    <t>perskostn i SE</t>
  </si>
  <si>
    <t>Samma princip som för företag - andel av personalkostn i SE</t>
  </si>
  <si>
    <t>Antag kärnstöd. Använd personalandel (0.55) och personalkostnad (0.79) från GOV</t>
  </si>
  <si>
    <t>Andel från Sida anv i SE</t>
  </si>
  <si>
    <t>allastiftelser.com, antag 50%</t>
  </si>
  <si>
    <t>Förstudie urbanforskning?</t>
  </si>
  <si>
    <t>Ingen info, gissa 50%</t>
  </si>
  <si>
    <t>Antag verks i Namibia o BWA. 8% adm</t>
  </si>
  <si>
    <t>Antag verks i Kina o BWA. 8% adm</t>
  </si>
  <si>
    <t>Främst sekonderingar till SCESS, antag hälften till Sverige, hälften utomlands</t>
  </si>
  <si>
    <t>Utbytesprogram m Kina. Antag 50%</t>
  </si>
  <si>
    <t>B4D facilitator health, antag 50%</t>
  </si>
  <si>
    <t>Utbyte, antag 50%</t>
  </si>
  <si>
    <t>Kärnstöd (drift kursgård bla)?</t>
  </si>
  <si>
    <t>Barnmorskor i Bangladesh, antag 8%</t>
  </si>
  <si>
    <t>Utbyte Kina?</t>
  </si>
  <si>
    <t>Privatsektorutveckling</t>
  </si>
  <si>
    <t>Branschsamarbete</t>
  </si>
  <si>
    <t>Organisation</t>
  </si>
  <si>
    <t>Org</t>
  </si>
  <si>
    <t>Sida</t>
  </si>
  <si>
    <t>Off sektor</t>
  </si>
  <si>
    <t>sektor</t>
  </si>
  <si>
    <t>myndigh</t>
  </si>
  <si>
    <t>univ</t>
  </si>
  <si>
    <t>u-forsk</t>
  </si>
  <si>
    <t>övr</t>
  </si>
  <si>
    <t>SRL</t>
  </si>
  <si>
    <t>Privat sekt</t>
  </si>
  <si>
    <t>Övr</t>
  </si>
  <si>
    <t>avräkn</t>
  </si>
  <si>
    <t>flykt</t>
  </si>
  <si>
    <t>ud</t>
  </si>
  <si>
    <t>UHR stip</t>
  </si>
  <si>
    <t>sida</t>
  </si>
  <si>
    <t>UHR mfs</t>
  </si>
  <si>
    <t>UHR lp</t>
  </si>
  <si>
    <t>UHR prakt</t>
  </si>
  <si>
    <t>Praktikantprogrammet</t>
  </si>
  <si>
    <t>forsk o utbildn</t>
  </si>
  <si>
    <t>Tot off sekt</t>
  </si>
  <si>
    <t>Varav flykt</t>
  </si>
  <si>
    <t>Net flykt</t>
  </si>
  <si>
    <t>Andel i SE</t>
  </si>
  <si>
    <t>Budgetramen i grova drag</t>
  </si>
  <si>
    <t>UD</t>
  </si>
  <si>
    <t>Sida förvaltningsanslag</t>
  </si>
  <si>
    <t>Avräkningar</t>
  </si>
  <si>
    <t>(Sida ink reformsamarbete i Östeuropa)</t>
  </si>
  <si>
    <t>Här</t>
  </si>
  <si>
    <t>(forskn 0,8; myndigh 0,3; Swedfund etc 0,5; CSO 3; priv ftg o övr 0.7)</t>
  </si>
  <si>
    <t>Mdkr</t>
  </si>
  <si>
    <t>Offentlig sektor</t>
  </si>
  <si>
    <t>Civila samhället</t>
  </si>
  <si>
    <t>Privat sektor</t>
  </si>
  <si>
    <t>Övriga aktörer</t>
  </si>
  <si>
    <t>Sektorer</t>
  </si>
  <si>
    <t>Sida, förvaltning</t>
  </si>
  <si>
    <t>Forskning, utbildning</t>
  </si>
  <si>
    <t>Rörelseresultat</t>
  </si>
  <si>
    <t>Totala medel i Sverige</t>
  </si>
  <si>
    <t>Vinstdel, biståndsramen</t>
  </si>
  <si>
    <t>Andel vinst</t>
  </si>
  <si>
    <t>Andel personalkostn</t>
  </si>
  <si>
    <t>WMU</t>
  </si>
  <si>
    <t>Se separat flik</t>
  </si>
  <si>
    <t>Sida (12.7+6.3=19)</t>
  </si>
  <si>
    <t>Sida, denna rapport (6,3)</t>
  </si>
  <si>
    <t>UD (11.3+0.7=12)</t>
  </si>
  <si>
    <t>UD, denna rapport (0,7)</t>
  </si>
  <si>
    <t>Antag att alla bidrag för verksamheten också spenderas i Sverige. Enligt not 3 och not 10 i UHR har 127794 betalats ut. Allt utom 22584 är för transfereringar, dvs vidareförmedling av bidrag</t>
  </si>
  <si>
    <t>Avgift (TKR)</t>
  </si>
  <si>
    <t>Antal &gt;1 miljon</t>
  </si>
  <si>
    <t>Antal &gt;0 kr</t>
  </si>
  <si>
    <t>Se separat blad. I princip allt av de 11,143241 från Sida är sekondering av personel=utomlands. Antar at denna ingår i här redovisade summor.</t>
  </si>
  <si>
    <t>Se separat blad. Antag "utbildnprog i SE" helt i SE, resten 8%</t>
  </si>
  <si>
    <t>Se uträkning i separat blad</t>
  </si>
  <si>
    <t>Se separat blad</t>
  </si>
  <si>
    <t>Intäkter biståndsverksamhet:</t>
  </si>
  <si>
    <t>Mycket svårt att bedöma, bidrag ges till ett flertal verksamheter.</t>
  </si>
  <si>
    <t>Migration, Hälsa, Frivilligt engagemang och föreningsutveckling antas inte utgöra biståndsverksamhet</t>
  </si>
  <si>
    <t xml:space="preserve">Internationellt konflikt- och katastrofarbete samt kommunikation (humanitär rätt) antas utgöra biståndsverksamhet. </t>
  </si>
  <si>
    <t>Från kostnadssidan:</t>
  </si>
  <si>
    <t>Eftersom negativt verksamhetsresultat, antag att verksamhetskostnaderna för internationellt konflikt- och katastrofarbete samt kommunikation (330,758+18,427)  utgör intäkter för biståndsverksamhet.</t>
  </si>
  <si>
    <t>Verksamhetskostn i SE: Föreningsutveckling o stödkostnader ur internationell konflikt och katastrofverksamhet samt kommunikation</t>
  </si>
  <si>
    <t>Finansiering av Världssjöuniversitetet (World Maritime University, WMU) sker i form av avräkning från biståndsramen till kommunikationsbudgeten (utgiftsområde 22). WMU har sitt säte i Malmö och är en underorganisation till FN-organet International Maritime Organization (IMO). Anslaget till WMU avser användas för Sveriges förpliktelser som värdland för WMU. Totalt avräknas 25 miljoner kronor. Dessa antas fullt ut användas i Sverige. Antalet sysselsatta med dessa medel uppskattas till 19 personer.[1]</t>
  </si>
  <si>
    <t>Förklaring:</t>
  </si>
  <si>
    <t xml:space="preserve">I IMO:s ekonomiska redogörelse redovisas WMU tillsammans med den Malta-baserade organisationen International Maritime Law Institute (IMLI). Den gemensamma andelen personalkostnader av totala kostnader och personalkostnad per anställd används för att beräkna antalet sysselsatta med svenska biståndsmedel. </t>
  </si>
  <si>
    <t>oms SE</t>
  </si>
  <si>
    <t>tot ram</t>
  </si>
  <si>
    <t>(myndigh som ej är Sida)</t>
  </si>
  <si>
    <t>Avräkningar (2.2+4.8=7)</t>
  </si>
  <si>
    <t>Avräkningar, denna rapport (4,8)</t>
  </si>
  <si>
    <t>personal SE, ram</t>
  </si>
  <si>
    <t>personal SE tot</t>
  </si>
  <si>
    <t>pers</t>
  </si>
  <si>
    <t>sek</t>
  </si>
  <si>
    <t>Miljoner kr (UHR hemsida), redovisat fr UHR till EBA</t>
  </si>
  <si>
    <t>UHR redovisat till Sida/CRS, från Sida till EBA</t>
  </si>
  <si>
    <t>Beräkning av personalkostnadsdel av vissa poster samt antal personal per post. Använder Uppsala universitets uppgifter för riket.</t>
  </si>
  <si>
    <t>Snittkostnad per helårspersonal UU</t>
  </si>
  <si>
    <t>antal helårspers</t>
  </si>
  <si>
    <t>Antal (UHR hemsida)</t>
  </si>
  <si>
    <t>Uträkning för vissa myndigheter (GOV)</t>
  </si>
  <si>
    <t>Anv i SE (EBA, SADEV och Internet Forum)</t>
  </si>
  <si>
    <t>utbildn.progr. i Sverige</t>
  </si>
  <si>
    <t>Avser U-forsk o SRL. Redovisas på annat håll. Räkna noll på personal - ingen redovisad anslagspost annat än för transfereringar.</t>
  </si>
  <si>
    <t>Detaljerade beräkningar över myndigheter/universitets- högskolors bidrag från Sida</t>
  </si>
  <si>
    <r>
      <t>(</t>
    </r>
    <r>
      <rPr>
        <b/>
        <sz val="11"/>
        <color theme="1"/>
        <rFont val="Arial"/>
        <family val="2"/>
        <scheme val="minor"/>
      </rPr>
      <t>Linnéuniversitetet</t>
    </r>
    <r>
      <rPr>
        <sz val="11"/>
        <color theme="1"/>
        <rFont val="Arial"/>
        <family val="2"/>
        <scheme val="minor"/>
      </rPr>
      <t>: 0.734827 från Sidas 73-kontogrupp antas inkluderat)</t>
    </r>
  </si>
  <si>
    <t>Årsredovisningen saknar information om personalens placering alt personalkostnadens geografiska fördelning. Saknar även uppdelning av verksamhetskostnader på Sverige-utomlands</t>
  </si>
  <si>
    <t>Administrativa kostnader särredovisas inte, enbart "direkta kostnader" samt "övriga externa kostnader". Går ej att dela upp.</t>
  </si>
  <si>
    <t>Har ingen verksamhet utanför SE.</t>
  </si>
  <si>
    <t>PNYX</t>
  </si>
  <si>
    <t>Som andel av Sidafakt</t>
  </si>
  <si>
    <t>Forskn i SE</t>
  </si>
  <si>
    <t>Secrecy</t>
  </si>
  <si>
    <t>Aktörer tot</t>
  </si>
  <si>
    <t>aktörer 1milj</t>
  </si>
  <si>
    <t>oms</t>
  </si>
  <si>
    <t>se</t>
  </si>
  <si>
    <t>pers se</t>
  </si>
  <si>
    <t>aktörerunder1milj</t>
  </si>
  <si>
    <t>summa</t>
  </si>
  <si>
    <t>Avr</t>
  </si>
  <si>
    <t>Myndig</t>
  </si>
  <si>
    <t>Forskn o utb</t>
  </si>
  <si>
    <t>Övr off sekt</t>
  </si>
  <si>
    <t>Priv</t>
  </si>
  <si>
    <t>Tabell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</si>
</sst>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0.000%"/>
    <numFmt numFmtId="167" formatCode="#,##0.0000"/>
    <numFmt numFmtId="168" formatCode="0.0%"/>
  </numFmts>
  <fonts count="21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Arial"/>
      <family val="2"/>
    </font>
    <font>
      <b/>
      <sz val="9"/>
      <color indexed="81"/>
      <name val="Arial"/>
      <family val="2"/>
    </font>
    <font>
      <u/>
      <sz val="11"/>
      <color indexed="12"/>
      <name val="Arial"/>
      <family val="2"/>
    </font>
    <font>
      <i/>
      <sz val="12"/>
      <color indexed="23"/>
      <name val="Arial"/>
      <family val="2"/>
    </font>
    <font>
      <sz val="11"/>
      <name val="Arial"/>
      <family val="2"/>
    </font>
    <font>
      <sz val="8"/>
      <color indexed="23"/>
      <name val="Arial"/>
      <family val="2"/>
    </font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ajor"/>
    </font>
    <font>
      <sz val="11"/>
      <color rgb="FFFF0000"/>
      <name val="Arial"/>
      <family val="2"/>
      <scheme val="major"/>
    </font>
    <font>
      <sz val="11"/>
      <name val="Arial"/>
      <family val="2"/>
      <scheme val="minor"/>
    </font>
    <font>
      <sz val="11"/>
      <color rgb="FF555555"/>
      <name val="Arial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  <scheme val="major"/>
    </font>
    <font>
      <sz val="11"/>
      <name val="Arial"/>
      <family val="2"/>
      <scheme val="major"/>
    </font>
    <font>
      <b/>
      <i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9" fontId="9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Fill="1"/>
    <xf numFmtId="0" fontId="0" fillId="0" borderId="0" xfId="0" applyFill="1" applyAlignment="1">
      <alignment vertical="top" wrapText="1"/>
    </xf>
    <xf numFmtId="0" fontId="11" fillId="0" borderId="0" xfId="0" applyFont="1" applyAlignment="1">
      <alignment vertical="center"/>
    </xf>
    <xf numFmtId="0" fontId="0" fillId="2" borderId="0" xfId="0" applyFill="1"/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Font="1" applyFill="1" applyBorder="1" applyAlignment="1" applyProtection="1"/>
    <xf numFmtId="4" fontId="0" fillId="0" borderId="0" xfId="0" applyNumberFormat="1" applyFill="1"/>
    <xf numFmtId="0" fontId="12" fillId="0" borderId="0" xfId="0" applyFont="1"/>
    <xf numFmtId="4" fontId="0" fillId="2" borderId="0" xfId="0" applyNumberFormat="1" applyFill="1"/>
    <xf numFmtId="0" fontId="13" fillId="0" borderId="0" xfId="0" applyFont="1" applyAlignment="1">
      <alignment vertical="top" wrapText="1"/>
    </xf>
    <xf numFmtId="0" fontId="13" fillId="0" borderId="0" xfId="0" applyFont="1" applyAlignment="1">
      <alignment vertical="center"/>
    </xf>
    <xf numFmtId="0" fontId="13" fillId="0" borderId="0" xfId="0" applyFont="1"/>
    <xf numFmtId="0" fontId="13" fillId="0" borderId="0" xfId="0" applyFont="1" applyFill="1" applyAlignment="1">
      <alignment vertical="center"/>
    </xf>
    <xf numFmtId="0" fontId="13" fillId="0" borderId="0" xfId="0" applyFont="1" applyFill="1"/>
    <xf numFmtId="0" fontId="13" fillId="2" borderId="0" xfId="0" applyFont="1" applyFill="1"/>
    <xf numFmtId="0" fontId="11" fillId="0" borderId="0" xfId="0" applyFont="1" applyFill="1" applyAlignment="1">
      <alignment vertical="center"/>
    </xf>
    <xf numFmtId="4" fontId="13" fillId="2" borderId="0" xfId="0" applyNumberFormat="1" applyFont="1" applyFill="1"/>
    <xf numFmtId="0" fontId="0" fillId="0" borderId="0" xfId="0" applyAlignment="1">
      <alignment horizontal="right"/>
    </xf>
    <xf numFmtId="164" fontId="0" fillId="0" borderId="0" xfId="0" applyNumberFormat="1" applyAlignment="1">
      <alignment vertical="top" wrapText="1"/>
    </xf>
    <xf numFmtId="164" fontId="0" fillId="2" borderId="0" xfId="0" applyNumberFormat="1" applyFill="1" applyAlignment="1">
      <alignment vertical="top" wrapText="1"/>
    </xf>
    <xf numFmtId="164" fontId="0" fillId="0" borderId="0" xfId="0" applyNumberFormat="1" applyFill="1" applyAlignment="1">
      <alignment vertical="top" wrapText="1"/>
    </xf>
    <xf numFmtId="164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164" fontId="12" fillId="0" borderId="0" xfId="0" applyNumberFormat="1" applyFont="1"/>
    <xf numFmtId="165" fontId="0" fillId="0" borderId="0" xfId="0" applyNumberFormat="1" applyAlignment="1">
      <alignment vertical="top" wrapText="1"/>
    </xf>
    <xf numFmtId="165" fontId="0" fillId="0" borderId="0" xfId="0" applyNumberFormat="1" applyFill="1" applyAlignment="1">
      <alignment vertical="top" wrapText="1"/>
    </xf>
    <xf numFmtId="165" fontId="0" fillId="0" borderId="0" xfId="0" applyNumberFormat="1"/>
    <xf numFmtId="165" fontId="0" fillId="0" borderId="0" xfId="0" applyNumberFormat="1" applyFill="1"/>
    <xf numFmtId="165" fontId="12" fillId="0" borderId="0" xfId="0" applyNumberFormat="1" applyFont="1"/>
    <xf numFmtId="1" fontId="0" fillId="0" borderId="0" xfId="0" applyNumberFormat="1" applyAlignment="1">
      <alignment vertical="top" wrapText="1"/>
    </xf>
    <xf numFmtId="1" fontId="0" fillId="0" borderId="0" xfId="0" applyNumberFormat="1"/>
    <xf numFmtId="1" fontId="0" fillId="0" borderId="0" xfId="0" applyNumberFormat="1" applyFill="1"/>
    <xf numFmtId="1" fontId="12" fillId="0" borderId="0" xfId="0" applyNumberFormat="1" applyFont="1"/>
    <xf numFmtId="165" fontId="12" fillId="0" borderId="0" xfId="0" applyNumberFormat="1" applyFont="1" applyFill="1"/>
    <xf numFmtId="9" fontId="9" fillId="0" borderId="0" xfId="2" applyFont="1" applyFill="1"/>
    <xf numFmtId="1" fontId="0" fillId="0" borderId="0" xfId="0" applyNumberFormat="1" applyFill="1" applyAlignment="1">
      <alignment vertical="top" wrapText="1"/>
    </xf>
    <xf numFmtId="1" fontId="12" fillId="0" borderId="0" xfId="0" applyNumberFormat="1" applyFont="1" applyFill="1"/>
    <xf numFmtId="1" fontId="0" fillId="2" borderId="0" xfId="0" applyNumberFormat="1" applyFill="1"/>
    <xf numFmtId="0" fontId="0" fillId="0" borderId="0" xfId="0" applyFont="1" applyFill="1"/>
    <xf numFmtId="0" fontId="7" fillId="0" borderId="0" xfId="0" applyFont="1" applyFill="1"/>
    <xf numFmtId="0" fontId="12" fillId="0" borderId="0" xfId="0" applyFont="1" applyFill="1"/>
    <xf numFmtId="0" fontId="0" fillId="3" borderId="0" xfId="0" applyFill="1"/>
    <xf numFmtId="0" fontId="10" fillId="0" borderId="0" xfId="1"/>
    <xf numFmtId="0" fontId="0" fillId="4" borderId="0" xfId="0" applyFill="1"/>
    <xf numFmtId="0" fontId="10" fillId="0" borderId="0" xfId="1" applyFill="1"/>
    <xf numFmtId="0" fontId="15" fillId="0" borderId="0" xfId="1" applyFont="1" applyFill="1"/>
    <xf numFmtId="0" fontId="16" fillId="0" borderId="0" xfId="0" applyFont="1" applyAlignment="1">
      <alignment vertical="center"/>
    </xf>
    <xf numFmtId="0" fontId="0" fillId="0" borderId="0" xfId="0" applyNumberFormat="1"/>
    <xf numFmtId="164" fontId="12" fillId="2" borderId="0" xfId="0" applyNumberFormat="1" applyFont="1" applyFill="1"/>
    <xf numFmtId="164" fontId="12" fillId="0" borderId="0" xfId="0" applyNumberFormat="1" applyFont="1" applyFill="1"/>
    <xf numFmtId="9" fontId="12" fillId="0" borderId="0" xfId="0" applyNumberFormat="1" applyFont="1"/>
    <xf numFmtId="0" fontId="17" fillId="0" borderId="0" xfId="0" applyFont="1" applyFill="1" applyAlignment="1">
      <alignment vertical="center"/>
    </xf>
    <xf numFmtId="9" fontId="9" fillId="0" borderId="0" xfId="2" applyFont="1" applyAlignment="1">
      <alignment vertical="top" wrapText="1"/>
    </xf>
    <xf numFmtId="9" fontId="9" fillId="0" borderId="0" xfId="2" applyFont="1"/>
    <xf numFmtId="0" fontId="0" fillId="0" borderId="0" xfId="0" applyFont="1"/>
    <xf numFmtId="0" fontId="18" fillId="0" borderId="0" xfId="0" applyFont="1" applyAlignment="1">
      <alignment vertical="center"/>
    </xf>
    <xf numFmtId="9" fontId="12" fillId="0" borderId="0" xfId="2" applyFont="1"/>
    <xf numFmtId="0" fontId="0" fillId="2" borderId="0" xfId="0" applyFill="1" applyAlignment="1">
      <alignment vertical="top" wrapText="1"/>
    </xf>
    <xf numFmtId="3" fontId="0" fillId="0" borderId="0" xfId="0" applyNumberFormat="1" applyFill="1"/>
    <xf numFmtId="0" fontId="18" fillId="0" borderId="0" xfId="0" applyFont="1" applyFill="1" applyAlignment="1">
      <alignment vertical="center"/>
    </xf>
    <xf numFmtId="3" fontId="12" fillId="0" borderId="0" xfId="0" applyNumberFormat="1" applyFont="1" applyFill="1"/>
    <xf numFmtId="9" fontId="9" fillId="2" borderId="0" xfId="2" applyFont="1" applyFill="1" applyAlignment="1">
      <alignment vertical="top" wrapText="1"/>
    </xf>
    <xf numFmtId="9" fontId="9" fillId="2" borderId="0" xfId="2" applyFont="1" applyFill="1"/>
    <xf numFmtId="2" fontId="0" fillId="0" borderId="0" xfId="0" applyNumberFormat="1" applyAlignment="1">
      <alignment vertical="top" wrapText="1"/>
    </xf>
    <xf numFmtId="2" fontId="0" fillId="0" borderId="0" xfId="0" applyNumberFormat="1"/>
    <xf numFmtId="10" fontId="9" fillId="0" borderId="0" xfId="2" applyNumberFormat="1" applyFont="1" applyAlignment="1">
      <alignment vertical="top" wrapText="1"/>
    </xf>
    <xf numFmtId="10" fontId="9" fillId="0" borderId="0" xfId="2" applyNumberFormat="1" applyFont="1"/>
    <xf numFmtId="0" fontId="0" fillId="0" borderId="0" xfId="0" applyAlignment="1">
      <alignment vertical="top"/>
    </xf>
    <xf numFmtId="9" fontId="9" fillId="0" borderId="0" xfId="2" applyFont="1" applyFill="1"/>
    <xf numFmtId="10" fontId="9" fillId="2" borderId="0" xfId="2" applyNumberFormat="1" applyFont="1" applyFill="1"/>
    <xf numFmtId="3" fontId="0" fillId="2" borderId="0" xfId="0" applyNumberFormat="1" applyFont="1" applyFill="1" applyBorder="1" applyAlignment="1" applyProtection="1"/>
    <xf numFmtId="10" fontId="0" fillId="0" borderId="0" xfId="2" applyNumberFormat="1" applyFont="1" applyAlignment="1">
      <alignment vertical="top" wrapText="1"/>
    </xf>
    <xf numFmtId="165" fontId="0" fillId="2" borderId="0" xfId="0" applyNumberFormat="1" applyFill="1"/>
    <xf numFmtId="0" fontId="0" fillId="2" borderId="0" xfId="0" applyNumberFormat="1" applyFill="1"/>
    <xf numFmtId="0" fontId="12" fillId="0" borderId="0" xfId="0" applyFont="1" applyAlignment="1">
      <alignment horizontal="left"/>
    </xf>
    <xf numFmtId="3" fontId="12" fillId="2" borderId="0" xfId="0" applyNumberFormat="1" applyFont="1" applyFill="1"/>
    <xf numFmtId="0" fontId="12" fillId="2" borderId="0" xfId="0" applyFont="1" applyFill="1"/>
    <xf numFmtId="167" fontId="0" fillId="2" borderId="0" xfId="0" applyNumberFormat="1" applyFont="1" applyFill="1" applyBorder="1" applyAlignment="1" applyProtection="1"/>
    <xf numFmtId="0" fontId="15" fillId="2" borderId="0" xfId="1" applyFont="1" applyFill="1"/>
    <xf numFmtId="0" fontId="10" fillId="2" borderId="0" xfId="1" applyFill="1"/>
    <xf numFmtId="0" fontId="0" fillId="0" borderId="0" xfId="0" applyNumberFormat="1" applyFill="1"/>
    <xf numFmtId="9" fontId="0" fillId="2" borderId="0" xfId="2" applyFont="1" applyFill="1"/>
    <xf numFmtId="9" fontId="12" fillId="2" borderId="0" xfId="2" applyFont="1" applyFill="1"/>
    <xf numFmtId="4" fontId="12" fillId="2" borderId="0" xfId="0" applyNumberFormat="1" applyFont="1" applyFill="1"/>
    <xf numFmtId="0" fontId="20" fillId="0" borderId="0" xfId="0" applyFont="1"/>
    <xf numFmtId="9" fontId="0" fillId="0" borderId="0" xfId="2" applyFont="1"/>
    <xf numFmtId="1" fontId="0" fillId="0" borderId="0" xfId="0" applyNumberFormat="1" applyFont="1"/>
    <xf numFmtId="2" fontId="13" fillId="0" borderId="0" xfId="2" applyNumberFormat="1" applyFont="1"/>
    <xf numFmtId="2" fontId="13" fillId="0" borderId="0" xfId="2" applyNumberFormat="1" applyFont="1" applyFill="1"/>
    <xf numFmtId="2" fontId="12" fillId="0" borderId="0" xfId="2" applyNumberFormat="1" applyFont="1"/>
    <xf numFmtId="2" fontId="13" fillId="0" borderId="0" xfId="0" applyNumberFormat="1" applyFont="1"/>
    <xf numFmtId="2" fontId="12" fillId="0" borderId="0" xfId="0" applyNumberFormat="1" applyFont="1"/>
    <xf numFmtId="0" fontId="15" fillId="0" borderId="0" xfId="0" applyFont="1" applyAlignment="1">
      <alignment vertical="top"/>
    </xf>
    <xf numFmtId="168" fontId="0" fillId="0" borderId="0" xfId="2" applyNumberFormat="1" applyFont="1"/>
    <xf numFmtId="4" fontId="12" fillId="0" borderId="0" xfId="0" applyNumberFormat="1" applyFont="1" applyFill="1"/>
    <xf numFmtId="4" fontId="12" fillId="0" borderId="0" xfId="0" applyNumberFormat="1" applyFont="1"/>
    <xf numFmtId="0" fontId="12" fillId="0" borderId="0" xfId="0" applyFont="1" applyAlignment="1">
      <alignment horizontal="right"/>
    </xf>
    <xf numFmtId="0" fontId="12" fillId="0" borderId="0" xfId="0" applyFont="1" applyAlignment="1">
      <alignment vertical="top" wrapText="1"/>
    </xf>
    <xf numFmtId="9" fontId="12" fillId="2" borderId="0" xfId="0" applyNumberFormat="1" applyFont="1" applyFill="1"/>
    <xf numFmtId="1" fontId="0" fillId="2" borderId="0" xfId="0" applyNumberFormat="1" applyFill="1" applyAlignment="1">
      <alignment vertical="top" wrapText="1"/>
    </xf>
    <xf numFmtId="1" fontId="12" fillId="2" borderId="0" xfId="0" applyNumberFormat="1" applyFont="1" applyFill="1"/>
    <xf numFmtId="9" fontId="12" fillId="0" borderId="0" xfId="0" applyNumberFormat="1" applyFont="1" applyFill="1"/>
    <xf numFmtId="165" fontId="12" fillId="2" borderId="0" xfId="0" applyNumberFormat="1" applyFont="1" applyFill="1"/>
    <xf numFmtId="2" fontId="0" fillId="0" borderId="0" xfId="0" applyNumberFormat="1" applyFill="1"/>
    <xf numFmtId="2" fontId="0" fillId="2" borderId="0" xfId="0" applyNumberFormat="1" applyFill="1"/>
    <xf numFmtId="0" fontId="0" fillId="0" borderId="0" xfId="0" applyFill="1" applyBorder="1"/>
    <xf numFmtId="164" fontId="0" fillId="0" borderId="0" xfId="0" applyNumberFormat="1" applyFill="1" applyBorder="1"/>
    <xf numFmtId="165" fontId="0" fillId="0" borderId="0" xfId="0" applyNumberFormat="1" applyFill="1" applyBorder="1"/>
    <xf numFmtId="1" fontId="0" fillId="0" borderId="0" xfId="0" applyNumberFormat="1" applyFill="1" applyBorder="1"/>
    <xf numFmtId="0" fontId="12" fillId="0" borderId="0" xfId="0" applyFont="1" applyFill="1" applyBorder="1"/>
    <xf numFmtId="0" fontId="13" fillId="2" borderId="0" xfId="0" applyFont="1" applyFill="1" applyAlignment="1">
      <alignment vertical="top" wrapText="1"/>
    </xf>
    <xf numFmtId="9" fontId="13" fillId="2" borderId="0" xfId="2" applyFont="1" applyFill="1"/>
    <xf numFmtId="166" fontId="13" fillId="2" borderId="0" xfId="2" applyNumberFormat="1" applyFont="1" applyFill="1"/>
    <xf numFmtId="0" fontId="14" fillId="2" borderId="0" xfId="0" applyFont="1" applyFill="1"/>
    <xf numFmtId="9" fontId="14" fillId="2" borderId="0" xfId="2" applyFont="1" applyFill="1"/>
    <xf numFmtId="0" fontId="0" fillId="2" borderId="0" xfId="0" applyFont="1" applyFill="1"/>
    <xf numFmtId="2" fontId="13" fillId="2" borderId="0" xfId="2" applyNumberFormat="1" applyFont="1" applyFill="1"/>
    <xf numFmtId="2" fontId="12" fillId="2" borderId="0" xfId="2" applyNumberFormat="1" applyFont="1" applyFill="1"/>
    <xf numFmtId="0" fontId="19" fillId="2" borderId="0" xfId="0" applyFont="1" applyFill="1"/>
    <xf numFmtId="10" fontId="0" fillId="0" borderId="0" xfId="2" applyNumberFormat="1" applyFont="1" applyFill="1" applyAlignment="1">
      <alignment vertical="top" wrapText="1"/>
    </xf>
    <xf numFmtId="0" fontId="0" fillId="0" borderId="0" xfId="0" applyFill="1" applyAlignment="1">
      <alignment horizontal="left" vertical="center" indent="1"/>
    </xf>
    <xf numFmtId="0" fontId="16" fillId="0" borderId="0" xfId="0" applyFont="1" applyFill="1" applyAlignment="1">
      <alignment vertical="center"/>
    </xf>
    <xf numFmtId="2" fontId="13" fillId="0" borderId="0" xfId="0" applyNumberFormat="1" applyFont="1" applyFill="1"/>
    <xf numFmtId="2" fontId="12" fillId="2" borderId="0" xfId="0" applyNumberFormat="1" applyFont="1" applyFill="1"/>
  </cellXfs>
  <cellStyles count="3">
    <cellStyle name="Hyperlänk" xfId="1" builtinId="8"/>
    <cellStyle name="Normal" xfId="0" builtinId="0"/>
    <cellStyle name="Procent" xfId="2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37" Type="http://schemas.openxmlformats.org/officeDocument/2006/relationships/customXml" Target="../customXml/item7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36" Type="http://schemas.openxmlformats.org/officeDocument/2006/relationships/customXml" Target="../customXml/item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Relationship Id="rId35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-tema">
  <a:themeElements>
    <a:clrScheme name="RK">
      <a:dk1>
        <a:srgbClr val="000000"/>
      </a:dk1>
      <a:lt1>
        <a:sysClr val="window" lastClr="FFFFFF"/>
      </a:lt1>
      <a:dk2>
        <a:srgbClr val="000000"/>
      </a:dk2>
      <a:lt2>
        <a:srgbClr val="FFFFFF"/>
      </a:lt2>
      <a:accent1>
        <a:srgbClr val="00328B"/>
      </a:accent1>
      <a:accent2>
        <a:srgbClr val="007CC3"/>
      </a:accent2>
      <a:accent3>
        <a:srgbClr val="14467F"/>
      </a:accent3>
      <a:accent4>
        <a:srgbClr val="333333"/>
      </a:accent4>
      <a:accent5>
        <a:srgbClr val="958E8A"/>
      </a:accent5>
      <a:accent6>
        <a:srgbClr val="4D605E"/>
      </a:accent6>
      <a:hlink>
        <a:srgbClr val="0000FF"/>
      </a:hlink>
      <a:folHlink>
        <a:srgbClr val="800080"/>
      </a:folHlink>
    </a:clrScheme>
    <a:fontScheme name="RK 2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www.svetan.org/" TargetMode="External"/><Relationship Id="rId4" Type="http://schemas.openxmlformats.org/officeDocument/2006/relationships/comments" Target="../comments12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1" sqref="H21"/>
    </sheetView>
  </sheetViews>
  <sheetFormatPr defaultRowHeight="14.25" x14ac:dyDescent="0.2"/>
  <cols>
    <col min="1" max="1" width="38" style="6" customWidth="1"/>
    <col min="2" max="2" width="10.125" style="6" bestFit="1" customWidth="1"/>
    <col min="3" max="3" width="9" style="6"/>
    <col min="4" max="4" width="12.625" style="6" bestFit="1" customWidth="1"/>
    <col min="5" max="6" width="8.375" style="6" customWidth="1"/>
    <col min="7" max="7" width="9" style="2"/>
    <col min="8" max="16384" width="9" style="6"/>
  </cols>
  <sheetData>
    <row r="1" spans="1:7" ht="57" x14ac:dyDescent="0.2">
      <c r="A1" s="1" t="s">
        <v>404</v>
      </c>
      <c r="B1" s="1" t="s">
        <v>1</v>
      </c>
      <c r="C1" s="1" t="s">
        <v>368</v>
      </c>
      <c r="D1" s="1" t="s">
        <v>315</v>
      </c>
      <c r="E1" s="1" t="s">
        <v>342</v>
      </c>
      <c r="F1" s="1" t="s">
        <v>694</v>
      </c>
      <c r="G1" s="3" t="s">
        <v>448</v>
      </c>
    </row>
    <row r="2" spans="1:7" x14ac:dyDescent="0.2">
      <c r="A2" s="18" t="s">
        <v>505</v>
      </c>
      <c r="B2" s="6" t="s">
        <v>474</v>
      </c>
      <c r="C2" s="2">
        <f t="shared" ref="C2:C14" si="0">IF(E2&gt;=1,1,0)</f>
        <v>1</v>
      </c>
      <c r="E2" s="6">
        <v>12</v>
      </c>
      <c r="G2" s="49"/>
    </row>
    <row r="3" spans="1:7" x14ac:dyDescent="0.2">
      <c r="A3" s="6" t="s">
        <v>520</v>
      </c>
      <c r="B3" s="6" t="s">
        <v>474</v>
      </c>
      <c r="C3" s="2">
        <f t="shared" si="0"/>
        <v>1</v>
      </c>
      <c r="E3" s="6">
        <v>11.396000000000001</v>
      </c>
      <c r="G3" s="48"/>
    </row>
    <row r="4" spans="1:7" x14ac:dyDescent="0.2">
      <c r="A4" s="6" t="s">
        <v>481</v>
      </c>
      <c r="B4" s="6" t="s">
        <v>474</v>
      </c>
      <c r="C4" s="2">
        <f t="shared" si="0"/>
        <v>1</v>
      </c>
      <c r="E4" s="6">
        <v>10</v>
      </c>
      <c r="G4" s="49" t="s">
        <v>480</v>
      </c>
    </row>
    <row r="5" spans="1:7" x14ac:dyDescent="0.2">
      <c r="A5" s="6" t="s">
        <v>521</v>
      </c>
      <c r="B5" s="6" t="s">
        <v>474</v>
      </c>
      <c r="C5" s="2">
        <f t="shared" si="0"/>
        <v>1</v>
      </c>
      <c r="E5" s="6">
        <v>7</v>
      </c>
      <c r="G5" s="48"/>
    </row>
    <row r="6" spans="1:7" x14ac:dyDescent="0.2">
      <c r="A6" s="6" t="s">
        <v>509</v>
      </c>
      <c r="B6" s="6" t="s">
        <v>474</v>
      </c>
      <c r="C6" s="2">
        <f t="shared" si="0"/>
        <v>1</v>
      </c>
      <c r="E6" s="6">
        <v>6.77</v>
      </c>
      <c r="G6" s="48"/>
    </row>
    <row r="7" spans="1:7" x14ac:dyDescent="0.2">
      <c r="A7" s="6" t="s">
        <v>506</v>
      </c>
      <c r="B7" s="6" t="s">
        <v>474</v>
      </c>
      <c r="C7" s="2">
        <f t="shared" si="0"/>
        <v>1</v>
      </c>
      <c r="E7" s="6">
        <v>5.1989999999999998</v>
      </c>
      <c r="G7" s="49"/>
    </row>
    <row r="8" spans="1:7" x14ac:dyDescent="0.2">
      <c r="A8" s="6" t="s">
        <v>483</v>
      </c>
      <c r="B8" s="6" t="s">
        <v>474</v>
      </c>
      <c r="C8" s="2">
        <f t="shared" si="0"/>
        <v>1</v>
      </c>
      <c r="E8" s="6">
        <v>4</v>
      </c>
      <c r="G8" s="49" t="s">
        <v>484</v>
      </c>
    </row>
    <row r="9" spans="1:7" x14ac:dyDescent="0.2">
      <c r="A9" s="6" t="s">
        <v>510</v>
      </c>
      <c r="B9" s="6" t="s">
        <v>474</v>
      </c>
      <c r="C9" s="2">
        <f t="shared" si="0"/>
        <v>1</v>
      </c>
      <c r="E9" s="6">
        <v>4</v>
      </c>
      <c r="G9" s="48"/>
    </row>
    <row r="10" spans="1:7" x14ac:dyDescent="0.2">
      <c r="A10" s="13" t="s">
        <v>473</v>
      </c>
      <c r="B10" s="14" t="s">
        <v>474</v>
      </c>
      <c r="C10" s="2">
        <f t="shared" si="0"/>
        <v>1</v>
      </c>
      <c r="E10" s="6">
        <v>3</v>
      </c>
      <c r="G10" s="2" t="s">
        <v>472</v>
      </c>
    </row>
    <row r="11" spans="1:7" x14ac:dyDescent="0.2">
      <c r="A11" s="15" t="s">
        <v>540</v>
      </c>
      <c r="B11" s="6" t="s">
        <v>474</v>
      </c>
      <c r="C11" s="2">
        <f t="shared" si="0"/>
        <v>1</v>
      </c>
      <c r="D11" s="15"/>
      <c r="E11" s="15">
        <v>2.3441000000000001</v>
      </c>
      <c r="F11" s="15"/>
      <c r="G11" s="6"/>
    </row>
    <row r="12" spans="1:7" x14ac:dyDescent="0.2">
      <c r="A12" s="6" t="s">
        <v>507</v>
      </c>
      <c r="B12" s="6" t="s">
        <v>474</v>
      </c>
      <c r="C12" s="2">
        <f t="shared" si="0"/>
        <v>1</v>
      </c>
      <c r="E12" s="6">
        <v>2</v>
      </c>
      <c r="G12" s="49"/>
    </row>
    <row r="13" spans="1:7" x14ac:dyDescent="0.2">
      <c r="A13" s="6" t="s">
        <v>522</v>
      </c>
      <c r="B13" s="6" t="s">
        <v>474</v>
      </c>
      <c r="C13" s="2">
        <f t="shared" si="0"/>
        <v>1</v>
      </c>
      <c r="E13" s="6">
        <v>2</v>
      </c>
      <c r="G13" s="48"/>
    </row>
    <row r="14" spans="1:7" x14ac:dyDescent="0.2">
      <c r="A14" s="6" t="s">
        <v>478</v>
      </c>
      <c r="B14" s="6" t="s">
        <v>474</v>
      </c>
      <c r="C14" s="2">
        <f t="shared" si="0"/>
        <v>0</v>
      </c>
      <c r="E14" s="6">
        <v>0.85</v>
      </c>
      <c r="G14" s="48"/>
    </row>
  </sheetData>
  <sortState ref="A2:AE57">
    <sortCondition descending="1" ref="E2:E57"/>
  </sortState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121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93" sqref="N93"/>
    </sheetView>
  </sheetViews>
  <sheetFormatPr defaultColWidth="8.75" defaultRowHeight="14.25" x14ac:dyDescent="0.2"/>
  <cols>
    <col min="1" max="1" width="35.5" style="2" customWidth="1"/>
    <col min="2" max="4" width="6.5" style="2" customWidth="1"/>
    <col min="5" max="5" width="6.25" style="2" bestFit="1" customWidth="1"/>
    <col min="6" max="9" width="6.25" style="2" customWidth="1"/>
    <col min="10" max="10" width="9.875" style="25" customWidth="1"/>
    <col min="11" max="11" width="9.125" style="25" customWidth="1"/>
    <col min="12" max="12" width="8.125" style="25" customWidth="1"/>
    <col min="13" max="13" width="9.375" style="26" customWidth="1"/>
    <col min="14" max="14" width="8.75" style="26" customWidth="1"/>
    <col min="15" max="16" width="10.75" style="26" customWidth="1"/>
    <col min="17" max="17" width="8.375" style="26" bestFit="1" customWidth="1"/>
    <col min="18" max="18" width="8.375" style="26" customWidth="1"/>
    <col min="19" max="19" width="11" style="26" customWidth="1"/>
    <col min="20" max="20" width="10.75" style="26" customWidth="1"/>
    <col min="21" max="21" width="10.375" style="26" bestFit="1" customWidth="1"/>
    <col min="22" max="22" width="7.375" style="26" customWidth="1"/>
    <col min="23" max="23" width="9.375" style="26" customWidth="1"/>
    <col min="24" max="25" width="11.625" style="26" customWidth="1"/>
    <col min="26" max="26" width="7.75" style="31" customWidth="1"/>
    <col min="27" max="27" width="7.25" style="31" customWidth="1"/>
    <col min="28" max="28" width="10" style="35" customWidth="1"/>
    <col min="29" max="29" width="8.75" style="26" bestFit="1" customWidth="1"/>
    <col min="30" max="30" width="9.125" style="26" customWidth="1"/>
    <col min="31" max="31" width="11.125" style="26" customWidth="1"/>
    <col min="32" max="32" width="6.625" style="26" customWidth="1"/>
    <col min="33" max="34" width="10.375" style="26" bestFit="1" customWidth="1"/>
    <col min="35" max="36" width="10.125" style="35" customWidth="1"/>
    <col min="37" max="37" width="11.75" style="35" bestFit="1" customWidth="1"/>
    <col min="38" max="39" width="11.625" style="26" customWidth="1"/>
    <col min="40" max="40" width="11.875" style="26" customWidth="1"/>
    <col min="41" max="41" width="7.375" style="26" customWidth="1"/>
    <col min="42" max="42" width="8.75" style="26" customWidth="1"/>
    <col min="43" max="43" width="7.375" style="26" customWidth="1"/>
    <col min="44" max="44" width="12.125" style="26" customWidth="1"/>
    <col min="45" max="47" width="12.125" style="26" bestFit="1" customWidth="1"/>
    <col min="48" max="48" width="11.625" style="2" bestFit="1" customWidth="1"/>
    <col min="49" max="16384" width="8.75" style="2"/>
  </cols>
  <sheetData>
    <row r="1" spans="1:55" s="3" customFormat="1" ht="128.25" x14ac:dyDescent="0.2">
      <c r="A1" s="3" t="s">
        <v>0</v>
      </c>
      <c r="B1" s="3" t="s">
        <v>457</v>
      </c>
      <c r="C1" s="3" t="s">
        <v>459</v>
      </c>
      <c r="D1" s="3" t="s">
        <v>458</v>
      </c>
      <c r="E1" s="3" t="s">
        <v>1</v>
      </c>
      <c r="F1" s="3" t="s">
        <v>212</v>
      </c>
      <c r="G1" s="3" t="s">
        <v>213</v>
      </c>
      <c r="H1" s="3" t="s">
        <v>214</v>
      </c>
      <c r="I1" s="3" t="s">
        <v>401</v>
      </c>
      <c r="J1" s="22" t="s">
        <v>2</v>
      </c>
      <c r="K1" s="22" t="s">
        <v>4</v>
      </c>
      <c r="L1" s="22" t="s">
        <v>8</v>
      </c>
      <c r="M1" s="23" t="s">
        <v>471</v>
      </c>
      <c r="N1" s="23" t="s">
        <v>44</v>
      </c>
      <c r="O1" s="23" t="s">
        <v>451</v>
      </c>
      <c r="P1" s="23" t="s">
        <v>450</v>
      </c>
      <c r="Q1" s="23" t="s">
        <v>43</v>
      </c>
      <c r="R1" s="23" t="s">
        <v>452</v>
      </c>
      <c r="S1" s="23" t="s">
        <v>9</v>
      </c>
      <c r="T1" s="23" t="s">
        <v>10</v>
      </c>
      <c r="U1" s="23" t="s">
        <v>12</v>
      </c>
      <c r="V1" s="23" t="s">
        <v>13</v>
      </c>
      <c r="W1" s="23" t="s">
        <v>45</v>
      </c>
      <c r="X1" s="23" t="s">
        <v>62</v>
      </c>
      <c r="Y1" s="23" t="s">
        <v>453</v>
      </c>
      <c r="Z1" s="29" t="s">
        <v>454</v>
      </c>
      <c r="AA1" s="29" t="s">
        <v>445</v>
      </c>
      <c r="AB1" s="39" t="s">
        <v>15</v>
      </c>
      <c r="AC1" s="23" t="s">
        <v>16</v>
      </c>
      <c r="AD1" s="23" t="s">
        <v>446</v>
      </c>
      <c r="AE1" s="23" t="s">
        <v>21</v>
      </c>
      <c r="AF1" s="23" t="s">
        <v>19</v>
      </c>
      <c r="AG1" s="23" t="s">
        <v>14</v>
      </c>
      <c r="AH1" s="23" t="s">
        <v>444</v>
      </c>
      <c r="AI1" s="39" t="s">
        <v>441</v>
      </c>
      <c r="AJ1" s="39" t="s">
        <v>442</v>
      </c>
      <c r="AK1" s="39" t="s">
        <v>3</v>
      </c>
      <c r="AL1" s="23" t="s">
        <v>443</v>
      </c>
      <c r="AM1" s="23" t="s">
        <v>463</v>
      </c>
      <c r="AN1" s="23" t="s">
        <v>34</v>
      </c>
      <c r="AO1" s="23" t="s">
        <v>33</v>
      </c>
      <c r="AP1" s="23" t="s">
        <v>18</v>
      </c>
      <c r="AQ1" s="23"/>
      <c r="AR1" s="23" t="s">
        <v>464</v>
      </c>
      <c r="AS1" s="23" t="s">
        <v>22</v>
      </c>
      <c r="AT1" s="23" t="s">
        <v>23</v>
      </c>
      <c r="AU1" s="23" t="s">
        <v>17</v>
      </c>
      <c r="AV1" s="3" t="s">
        <v>11</v>
      </c>
      <c r="AW1" s="3" t="s">
        <v>411</v>
      </c>
      <c r="AX1" s="3" t="s">
        <v>412</v>
      </c>
      <c r="AZ1" s="3" t="s">
        <v>465</v>
      </c>
      <c r="BA1" s="3" t="s">
        <v>447</v>
      </c>
      <c r="BC1" s="3" t="s">
        <v>448</v>
      </c>
    </row>
    <row r="2" spans="1:55" x14ac:dyDescent="0.2">
      <c r="A2" s="2" t="s">
        <v>20</v>
      </c>
      <c r="C2" s="2">
        <v>1</v>
      </c>
      <c r="E2" s="2" t="s">
        <v>502</v>
      </c>
      <c r="F2" s="2">
        <v>0</v>
      </c>
      <c r="G2" s="2">
        <v>0</v>
      </c>
      <c r="H2" s="2">
        <v>0</v>
      </c>
      <c r="I2" s="2">
        <v>0</v>
      </c>
      <c r="J2" s="25">
        <v>38.662999999999997</v>
      </c>
      <c r="K2" s="25">
        <v>38.662999999999997</v>
      </c>
      <c r="L2" s="25">
        <f t="shared" ref="L2:L13" si="0">IF(SUM(N2:R2),SUM(N2:R2),M2)</f>
        <v>0.28699999999999998</v>
      </c>
      <c r="M2" s="26">
        <v>0.31900000000000001</v>
      </c>
      <c r="N2" s="26">
        <f t="shared" ref="N2:N33" si="1">SUM(S2:W2)</f>
        <v>0.28699999999999998</v>
      </c>
      <c r="T2" s="26">
        <v>0.28699999999999998</v>
      </c>
      <c r="Y2" s="31">
        <f t="shared" ref="Y2:Y33" si="2">IF(K2&gt;0,(K2-X2)/(J2-X2),(L2-X2)/(J2-X2))</f>
        <v>1</v>
      </c>
      <c r="Z2" s="31">
        <f t="shared" ref="Z2:Z33" si="3">(L2-X2)/(J2-X2)</f>
        <v>7.423117709437964E-3</v>
      </c>
      <c r="AA2" s="31">
        <f t="shared" ref="AA2:AA33" si="4">Z2/Y2</f>
        <v>7.423117709437964E-3</v>
      </c>
      <c r="AB2" s="35">
        <v>11</v>
      </c>
      <c r="AC2" s="26">
        <v>11</v>
      </c>
      <c r="AD2" s="26">
        <f t="shared" ref="AD2:AD33" si="5">Y2*AC2</f>
        <v>11</v>
      </c>
      <c r="AE2" s="26">
        <f t="shared" ref="AE2:AE33" si="6">Z2*AC2</f>
        <v>8.1654294803817598E-2</v>
      </c>
      <c r="AF2" s="26">
        <f>2/11</f>
        <v>0.18181818181818182</v>
      </c>
      <c r="AG2" s="26">
        <v>5.6680000000000001</v>
      </c>
      <c r="AH2" s="26">
        <f>1.886+0.647</f>
        <v>2.5329999999999999</v>
      </c>
      <c r="AJ2" s="35">
        <v>14</v>
      </c>
      <c r="AK2" s="35">
        <v>350</v>
      </c>
      <c r="AL2" s="26">
        <f t="shared" ref="AL2:AL33" si="7">SUM(AG2:AH2)</f>
        <v>8.2010000000000005</v>
      </c>
      <c r="AM2" s="26">
        <f t="shared" ref="AM2:AM33" si="8">AL2*AE2/AC2</f>
        <v>6.0876988335100739E-2</v>
      </c>
      <c r="AR2" s="26">
        <f t="shared" ref="AR2:AR33" si="9">IF(AS2&gt;0,0,MAX(0,(AL2-0.8*AO2)*Z2))</f>
        <v>0</v>
      </c>
      <c r="AS2" s="26">
        <v>0.28699999999999998</v>
      </c>
      <c r="AT2" s="26">
        <v>0</v>
      </c>
      <c r="AU2" s="26">
        <f t="shared" ref="AU2:AU33" si="10">SUM(AR2:AT2)</f>
        <v>0.28699999999999998</v>
      </c>
      <c r="AV2" s="72">
        <f t="shared" ref="AV2:AV33" si="11">AU2/L2</f>
        <v>1</v>
      </c>
      <c r="AW2" s="2">
        <v>0</v>
      </c>
      <c r="AX2" s="2">
        <v>0</v>
      </c>
      <c r="AZ2" s="2">
        <f t="shared" ref="AZ2:AZ33" si="12">MAX(0,(AL2-0.8*AO2)*Z2)</f>
        <v>6.0876988335100746E-2</v>
      </c>
      <c r="BA2" s="26">
        <f t="shared" ref="BA2:BA20" si="13">AZ2+AT2</f>
        <v>6.0876988335100746E-2</v>
      </c>
      <c r="BB2" s="72">
        <f t="shared" ref="BB2:BB33" si="14">BA2/L2</f>
        <v>0.21211494193414895</v>
      </c>
      <c r="BC2" s="2" t="s">
        <v>466</v>
      </c>
    </row>
    <row r="3" spans="1:55" x14ac:dyDescent="0.2">
      <c r="A3" s="2" t="s">
        <v>70</v>
      </c>
      <c r="C3" s="2">
        <v>1</v>
      </c>
      <c r="E3" s="2" t="s">
        <v>502</v>
      </c>
      <c r="F3" s="2">
        <v>0</v>
      </c>
      <c r="G3" s="2">
        <v>1</v>
      </c>
      <c r="H3" s="2">
        <v>0</v>
      </c>
      <c r="I3" s="2">
        <v>0</v>
      </c>
      <c r="L3" s="25">
        <f t="shared" si="0"/>
        <v>0.53100000000000003</v>
      </c>
      <c r="N3" s="26">
        <f t="shared" si="1"/>
        <v>0</v>
      </c>
      <c r="O3" s="26">
        <v>0.53100000000000003</v>
      </c>
      <c r="Y3" s="31" t="e">
        <f t="shared" si="2"/>
        <v>#DIV/0!</v>
      </c>
      <c r="Z3" s="31" t="e">
        <f t="shared" si="3"/>
        <v>#DIV/0!</v>
      </c>
      <c r="AA3" s="31" t="e">
        <f t="shared" si="4"/>
        <v>#DIV/0!</v>
      </c>
      <c r="AD3" s="26" t="e">
        <f t="shared" si="5"/>
        <v>#DIV/0!</v>
      </c>
      <c r="AE3" s="26" t="e">
        <f t="shared" si="6"/>
        <v>#DIV/0!</v>
      </c>
      <c r="AL3" s="26">
        <f t="shared" si="7"/>
        <v>0</v>
      </c>
      <c r="AM3" s="26" t="e">
        <f t="shared" si="8"/>
        <v>#DIV/0!</v>
      </c>
      <c r="AR3" s="26" t="e">
        <f t="shared" si="9"/>
        <v>#DIV/0!</v>
      </c>
      <c r="AS3" s="26" t="e">
        <f t="shared" ref="AS3:AS19" si="15">AN3*Z3</f>
        <v>#DIV/0!</v>
      </c>
      <c r="AT3" s="26" t="e">
        <f t="shared" ref="AT3:AT15" si="16">AO3*Z3</f>
        <v>#DIV/0!</v>
      </c>
      <c r="AU3" s="26" t="e">
        <f t="shared" si="10"/>
        <v>#DIV/0!</v>
      </c>
      <c r="AV3" s="72" t="e">
        <f t="shared" si="11"/>
        <v>#DIV/0!</v>
      </c>
      <c r="AW3" s="2">
        <v>0</v>
      </c>
      <c r="AX3" s="2">
        <v>0</v>
      </c>
      <c r="AZ3" s="2" t="e">
        <f t="shared" si="12"/>
        <v>#DIV/0!</v>
      </c>
      <c r="BA3" s="26" t="e">
        <f t="shared" si="13"/>
        <v>#DIV/0!</v>
      </c>
      <c r="BB3" s="72" t="e">
        <f t="shared" si="14"/>
        <v>#DIV/0!</v>
      </c>
    </row>
    <row r="4" spans="1:55" x14ac:dyDescent="0.2">
      <c r="A4" s="2" t="s">
        <v>71</v>
      </c>
      <c r="C4" s="2">
        <v>1</v>
      </c>
      <c r="E4" s="2" t="s">
        <v>502</v>
      </c>
      <c r="F4" s="2">
        <v>0</v>
      </c>
      <c r="G4" s="2">
        <v>1</v>
      </c>
      <c r="H4" s="2">
        <v>0</v>
      </c>
      <c r="I4" s="2">
        <v>0</v>
      </c>
      <c r="L4" s="25">
        <f t="shared" si="0"/>
        <v>0.438</v>
      </c>
      <c r="N4" s="26">
        <f t="shared" si="1"/>
        <v>0</v>
      </c>
      <c r="O4" s="26">
        <v>0.438</v>
      </c>
      <c r="Y4" s="31" t="e">
        <f t="shared" si="2"/>
        <v>#DIV/0!</v>
      </c>
      <c r="Z4" s="31" t="e">
        <f t="shared" si="3"/>
        <v>#DIV/0!</v>
      </c>
      <c r="AA4" s="31" t="e">
        <f t="shared" si="4"/>
        <v>#DIV/0!</v>
      </c>
      <c r="AD4" s="26" t="e">
        <f t="shared" si="5"/>
        <v>#DIV/0!</v>
      </c>
      <c r="AE4" s="26" t="e">
        <f t="shared" si="6"/>
        <v>#DIV/0!</v>
      </c>
      <c r="AL4" s="26">
        <f t="shared" si="7"/>
        <v>0</v>
      </c>
      <c r="AM4" s="26" t="e">
        <f t="shared" si="8"/>
        <v>#DIV/0!</v>
      </c>
      <c r="AR4" s="26" t="e">
        <f t="shared" si="9"/>
        <v>#DIV/0!</v>
      </c>
      <c r="AS4" s="26" t="e">
        <f t="shared" si="15"/>
        <v>#DIV/0!</v>
      </c>
      <c r="AT4" s="26" t="e">
        <f t="shared" si="16"/>
        <v>#DIV/0!</v>
      </c>
      <c r="AU4" s="26" t="e">
        <f t="shared" si="10"/>
        <v>#DIV/0!</v>
      </c>
      <c r="AV4" s="72" t="e">
        <f t="shared" si="11"/>
        <v>#DIV/0!</v>
      </c>
      <c r="AW4" s="2">
        <v>0</v>
      </c>
      <c r="AX4" s="2">
        <v>0</v>
      </c>
      <c r="AZ4" s="2" t="e">
        <f t="shared" si="12"/>
        <v>#DIV/0!</v>
      </c>
      <c r="BA4" s="26" t="e">
        <f t="shared" si="13"/>
        <v>#DIV/0!</v>
      </c>
      <c r="BB4" s="72" t="e">
        <f t="shared" si="14"/>
        <v>#DIV/0!</v>
      </c>
    </row>
    <row r="5" spans="1:55" ht="14.25" customHeight="1" x14ac:dyDescent="0.2">
      <c r="A5" s="2" t="s">
        <v>73</v>
      </c>
      <c r="C5" s="2">
        <v>1</v>
      </c>
      <c r="E5" s="2" t="s">
        <v>502</v>
      </c>
      <c r="F5" s="2">
        <v>0</v>
      </c>
      <c r="G5" s="2">
        <v>1</v>
      </c>
      <c r="H5" s="2">
        <v>0</v>
      </c>
      <c r="I5" s="2">
        <v>0</v>
      </c>
      <c r="L5" s="25">
        <f t="shared" si="0"/>
        <v>0.48099999999999998</v>
      </c>
      <c r="N5" s="26">
        <f t="shared" si="1"/>
        <v>0</v>
      </c>
      <c r="O5" s="26">
        <v>0.48099999999999998</v>
      </c>
      <c r="Y5" s="31" t="e">
        <f t="shared" si="2"/>
        <v>#DIV/0!</v>
      </c>
      <c r="Z5" s="31" t="e">
        <f t="shared" si="3"/>
        <v>#DIV/0!</v>
      </c>
      <c r="AA5" s="31" t="e">
        <f t="shared" si="4"/>
        <v>#DIV/0!</v>
      </c>
      <c r="AD5" s="26" t="e">
        <f t="shared" si="5"/>
        <v>#DIV/0!</v>
      </c>
      <c r="AE5" s="26" t="e">
        <f t="shared" si="6"/>
        <v>#DIV/0!</v>
      </c>
      <c r="AL5" s="26">
        <f t="shared" si="7"/>
        <v>0</v>
      </c>
      <c r="AM5" s="26" t="e">
        <f t="shared" si="8"/>
        <v>#DIV/0!</v>
      </c>
      <c r="AR5" s="26" t="e">
        <f t="shared" si="9"/>
        <v>#DIV/0!</v>
      </c>
      <c r="AS5" s="26" t="e">
        <f t="shared" si="15"/>
        <v>#DIV/0!</v>
      </c>
      <c r="AT5" s="26" t="e">
        <f t="shared" si="16"/>
        <v>#DIV/0!</v>
      </c>
      <c r="AU5" s="26" t="e">
        <f t="shared" si="10"/>
        <v>#DIV/0!</v>
      </c>
      <c r="AV5" s="72" t="e">
        <f t="shared" si="11"/>
        <v>#DIV/0!</v>
      </c>
      <c r="AW5" s="2">
        <v>0</v>
      </c>
      <c r="AX5" s="2">
        <v>0</v>
      </c>
      <c r="AZ5" s="2" t="e">
        <f t="shared" si="12"/>
        <v>#DIV/0!</v>
      </c>
      <c r="BA5" s="26" t="e">
        <f t="shared" si="13"/>
        <v>#DIV/0!</v>
      </c>
      <c r="BB5" s="72" t="e">
        <f t="shared" si="14"/>
        <v>#DIV/0!</v>
      </c>
    </row>
    <row r="6" spans="1:55" x14ac:dyDescent="0.2">
      <c r="A6" s="2" t="s">
        <v>74</v>
      </c>
      <c r="C6" s="2">
        <v>1</v>
      </c>
      <c r="E6" s="2" t="s">
        <v>502</v>
      </c>
      <c r="F6" s="2">
        <v>0</v>
      </c>
      <c r="G6" s="2">
        <v>1</v>
      </c>
      <c r="H6" s="2">
        <v>0</v>
      </c>
      <c r="I6" s="2">
        <v>0</v>
      </c>
      <c r="L6" s="25">
        <f t="shared" si="0"/>
        <v>0.30299999999999999</v>
      </c>
      <c r="N6" s="26">
        <f t="shared" si="1"/>
        <v>0</v>
      </c>
      <c r="O6" s="26">
        <v>0.30299999999999999</v>
      </c>
      <c r="Y6" s="31" t="e">
        <f t="shared" si="2"/>
        <v>#DIV/0!</v>
      </c>
      <c r="Z6" s="31" t="e">
        <f t="shared" si="3"/>
        <v>#DIV/0!</v>
      </c>
      <c r="AA6" s="31" t="e">
        <f t="shared" si="4"/>
        <v>#DIV/0!</v>
      </c>
      <c r="AD6" s="26" t="e">
        <f t="shared" si="5"/>
        <v>#DIV/0!</v>
      </c>
      <c r="AE6" s="26" t="e">
        <f t="shared" si="6"/>
        <v>#DIV/0!</v>
      </c>
      <c r="AL6" s="26">
        <f t="shared" si="7"/>
        <v>0</v>
      </c>
      <c r="AM6" s="26" t="e">
        <f t="shared" si="8"/>
        <v>#DIV/0!</v>
      </c>
      <c r="AR6" s="26" t="e">
        <f t="shared" si="9"/>
        <v>#DIV/0!</v>
      </c>
      <c r="AS6" s="26" t="e">
        <f t="shared" si="15"/>
        <v>#DIV/0!</v>
      </c>
      <c r="AT6" s="26" t="e">
        <f t="shared" si="16"/>
        <v>#DIV/0!</v>
      </c>
      <c r="AU6" s="26" t="e">
        <f t="shared" si="10"/>
        <v>#DIV/0!</v>
      </c>
      <c r="AV6" s="72" t="e">
        <f t="shared" si="11"/>
        <v>#DIV/0!</v>
      </c>
      <c r="AW6" s="2">
        <v>0</v>
      </c>
      <c r="AX6" s="2">
        <v>0</v>
      </c>
      <c r="AZ6" s="2" t="e">
        <f t="shared" si="12"/>
        <v>#DIV/0!</v>
      </c>
      <c r="BA6" s="26" t="e">
        <f t="shared" si="13"/>
        <v>#DIV/0!</v>
      </c>
      <c r="BB6" s="72" t="e">
        <f t="shared" si="14"/>
        <v>#DIV/0!</v>
      </c>
    </row>
    <row r="7" spans="1:55" x14ac:dyDescent="0.2">
      <c r="A7" s="2" t="s">
        <v>266</v>
      </c>
      <c r="C7" s="2">
        <v>1</v>
      </c>
      <c r="E7" s="2" t="s">
        <v>502</v>
      </c>
      <c r="F7" s="2">
        <v>0</v>
      </c>
      <c r="G7" s="2">
        <v>0</v>
      </c>
      <c r="H7" s="2">
        <v>0</v>
      </c>
      <c r="I7" s="2">
        <v>0</v>
      </c>
      <c r="L7" s="25">
        <f t="shared" si="0"/>
        <v>0.22</v>
      </c>
      <c r="N7" s="26">
        <f t="shared" si="1"/>
        <v>0</v>
      </c>
      <c r="O7" s="26">
        <v>0.22</v>
      </c>
      <c r="Y7" s="31" t="e">
        <f t="shared" si="2"/>
        <v>#DIV/0!</v>
      </c>
      <c r="Z7" s="31" t="e">
        <f t="shared" si="3"/>
        <v>#DIV/0!</v>
      </c>
      <c r="AA7" s="31" t="e">
        <f t="shared" si="4"/>
        <v>#DIV/0!</v>
      </c>
      <c r="AD7" s="26" t="e">
        <f t="shared" si="5"/>
        <v>#DIV/0!</v>
      </c>
      <c r="AE7" s="26" t="e">
        <f t="shared" si="6"/>
        <v>#DIV/0!</v>
      </c>
      <c r="AL7" s="26">
        <f t="shared" si="7"/>
        <v>0</v>
      </c>
      <c r="AM7" s="26" t="e">
        <f t="shared" si="8"/>
        <v>#DIV/0!</v>
      </c>
      <c r="AR7" s="26" t="e">
        <f t="shared" si="9"/>
        <v>#DIV/0!</v>
      </c>
      <c r="AS7" s="26" t="e">
        <f t="shared" si="15"/>
        <v>#DIV/0!</v>
      </c>
      <c r="AT7" s="26" t="e">
        <f t="shared" si="16"/>
        <v>#DIV/0!</v>
      </c>
      <c r="AU7" s="26" t="e">
        <f t="shared" si="10"/>
        <v>#DIV/0!</v>
      </c>
      <c r="AV7" s="72" t="e">
        <f t="shared" si="11"/>
        <v>#DIV/0!</v>
      </c>
      <c r="AW7" s="2">
        <v>0</v>
      </c>
      <c r="AX7" s="2">
        <v>0</v>
      </c>
      <c r="AZ7" s="2" t="e">
        <f t="shared" si="12"/>
        <v>#DIV/0!</v>
      </c>
      <c r="BA7" s="26" t="e">
        <f t="shared" si="13"/>
        <v>#DIV/0!</v>
      </c>
      <c r="BB7" s="72" t="e">
        <f t="shared" si="14"/>
        <v>#DIV/0!</v>
      </c>
    </row>
    <row r="8" spans="1:55" x14ac:dyDescent="0.2">
      <c r="A8" s="2" t="s">
        <v>267</v>
      </c>
      <c r="C8" s="2">
        <v>1</v>
      </c>
      <c r="E8" s="2" t="s">
        <v>502</v>
      </c>
      <c r="F8" s="2">
        <v>0</v>
      </c>
      <c r="G8" s="2">
        <v>0</v>
      </c>
      <c r="H8" s="2">
        <v>0</v>
      </c>
      <c r="I8" s="2">
        <v>0</v>
      </c>
      <c r="L8" s="25">
        <f t="shared" si="0"/>
        <v>0.59399999999999997</v>
      </c>
      <c r="N8" s="26">
        <f t="shared" si="1"/>
        <v>0</v>
      </c>
      <c r="O8" s="26">
        <v>0.59399999999999997</v>
      </c>
      <c r="Y8" s="31" t="e">
        <f t="shared" si="2"/>
        <v>#DIV/0!</v>
      </c>
      <c r="Z8" s="31" t="e">
        <f t="shared" si="3"/>
        <v>#DIV/0!</v>
      </c>
      <c r="AA8" s="31" t="e">
        <f t="shared" si="4"/>
        <v>#DIV/0!</v>
      </c>
      <c r="AD8" s="26" t="e">
        <f t="shared" si="5"/>
        <v>#DIV/0!</v>
      </c>
      <c r="AE8" s="26" t="e">
        <f t="shared" si="6"/>
        <v>#DIV/0!</v>
      </c>
      <c r="AL8" s="26">
        <f t="shared" si="7"/>
        <v>0</v>
      </c>
      <c r="AM8" s="26" t="e">
        <f t="shared" si="8"/>
        <v>#DIV/0!</v>
      </c>
      <c r="AR8" s="26" t="e">
        <f t="shared" si="9"/>
        <v>#DIV/0!</v>
      </c>
      <c r="AS8" s="26" t="e">
        <f t="shared" si="15"/>
        <v>#DIV/0!</v>
      </c>
      <c r="AT8" s="26" t="e">
        <f t="shared" si="16"/>
        <v>#DIV/0!</v>
      </c>
      <c r="AU8" s="26" t="e">
        <f t="shared" si="10"/>
        <v>#DIV/0!</v>
      </c>
      <c r="AV8" s="72" t="e">
        <f t="shared" si="11"/>
        <v>#DIV/0!</v>
      </c>
      <c r="AW8" s="2">
        <v>0</v>
      </c>
      <c r="AX8" s="2">
        <v>0</v>
      </c>
      <c r="AZ8" s="2" t="e">
        <f t="shared" si="12"/>
        <v>#DIV/0!</v>
      </c>
      <c r="BA8" s="26" t="e">
        <f t="shared" si="13"/>
        <v>#DIV/0!</v>
      </c>
      <c r="BB8" s="72" t="e">
        <f t="shared" si="14"/>
        <v>#DIV/0!</v>
      </c>
    </row>
    <row r="9" spans="1:55" x14ac:dyDescent="0.2">
      <c r="A9" s="2" t="s">
        <v>268</v>
      </c>
      <c r="C9" s="2">
        <v>1</v>
      </c>
      <c r="E9" s="2" t="s">
        <v>502</v>
      </c>
      <c r="F9" s="2">
        <v>0</v>
      </c>
      <c r="G9" s="2">
        <v>0</v>
      </c>
      <c r="H9" s="2">
        <v>0</v>
      </c>
      <c r="I9" s="2">
        <v>0</v>
      </c>
      <c r="L9" s="25">
        <f t="shared" si="0"/>
        <v>0.25</v>
      </c>
      <c r="N9" s="26">
        <f t="shared" si="1"/>
        <v>0</v>
      </c>
      <c r="O9" s="26">
        <v>0.25</v>
      </c>
      <c r="Y9" s="31" t="e">
        <f t="shared" si="2"/>
        <v>#DIV/0!</v>
      </c>
      <c r="Z9" s="31" t="e">
        <f t="shared" si="3"/>
        <v>#DIV/0!</v>
      </c>
      <c r="AA9" s="31" t="e">
        <f t="shared" si="4"/>
        <v>#DIV/0!</v>
      </c>
      <c r="AD9" s="26" t="e">
        <f t="shared" si="5"/>
        <v>#DIV/0!</v>
      </c>
      <c r="AE9" s="26" t="e">
        <f t="shared" si="6"/>
        <v>#DIV/0!</v>
      </c>
      <c r="AL9" s="26">
        <f t="shared" si="7"/>
        <v>0</v>
      </c>
      <c r="AM9" s="26" t="e">
        <f t="shared" si="8"/>
        <v>#DIV/0!</v>
      </c>
      <c r="AR9" s="26" t="e">
        <f t="shared" si="9"/>
        <v>#DIV/0!</v>
      </c>
      <c r="AS9" s="26" t="e">
        <f t="shared" si="15"/>
        <v>#DIV/0!</v>
      </c>
      <c r="AT9" s="26" t="e">
        <f t="shared" si="16"/>
        <v>#DIV/0!</v>
      </c>
      <c r="AU9" s="26" t="e">
        <f t="shared" si="10"/>
        <v>#DIV/0!</v>
      </c>
      <c r="AV9" s="72" t="e">
        <f t="shared" si="11"/>
        <v>#DIV/0!</v>
      </c>
      <c r="AW9" s="2">
        <v>0</v>
      </c>
      <c r="AX9" s="2">
        <v>0</v>
      </c>
      <c r="AZ9" s="2" t="e">
        <f t="shared" si="12"/>
        <v>#DIV/0!</v>
      </c>
      <c r="BA9" s="26" t="e">
        <f t="shared" si="13"/>
        <v>#DIV/0!</v>
      </c>
      <c r="BB9" s="72" t="e">
        <f t="shared" si="14"/>
        <v>#DIV/0!</v>
      </c>
    </row>
    <row r="10" spans="1:55" x14ac:dyDescent="0.2">
      <c r="A10" s="2" t="s">
        <v>269</v>
      </c>
      <c r="C10" s="2">
        <v>1</v>
      </c>
      <c r="E10" s="2" t="s">
        <v>502</v>
      </c>
      <c r="F10" s="2">
        <v>0</v>
      </c>
      <c r="G10" s="2">
        <v>0</v>
      </c>
      <c r="H10" s="2">
        <v>0</v>
      </c>
      <c r="I10" s="2">
        <v>0</v>
      </c>
      <c r="L10" s="25">
        <f t="shared" si="0"/>
        <v>0.48599999999999999</v>
      </c>
      <c r="N10" s="26">
        <f t="shared" si="1"/>
        <v>0</v>
      </c>
      <c r="O10" s="26">
        <v>0.48599999999999999</v>
      </c>
      <c r="Y10" s="31" t="e">
        <f t="shared" si="2"/>
        <v>#DIV/0!</v>
      </c>
      <c r="Z10" s="31" t="e">
        <f t="shared" si="3"/>
        <v>#DIV/0!</v>
      </c>
      <c r="AA10" s="31" t="e">
        <f t="shared" si="4"/>
        <v>#DIV/0!</v>
      </c>
      <c r="AD10" s="26" t="e">
        <f t="shared" si="5"/>
        <v>#DIV/0!</v>
      </c>
      <c r="AE10" s="26" t="e">
        <f t="shared" si="6"/>
        <v>#DIV/0!</v>
      </c>
      <c r="AL10" s="26">
        <f t="shared" si="7"/>
        <v>0</v>
      </c>
      <c r="AM10" s="26" t="e">
        <f t="shared" si="8"/>
        <v>#DIV/0!</v>
      </c>
      <c r="AR10" s="26" t="e">
        <f t="shared" si="9"/>
        <v>#DIV/0!</v>
      </c>
      <c r="AS10" s="26" t="e">
        <f t="shared" si="15"/>
        <v>#DIV/0!</v>
      </c>
      <c r="AT10" s="26" t="e">
        <f t="shared" si="16"/>
        <v>#DIV/0!</v>
      </c>
      <c r="AU10" s="26" t="e">
        <f t="shared" si="10"/>
        <v>#DIV/0!</v>
      </c>
      <c r="AV10" s="72" t="e">
        <f t="shared" si="11"/>
        <v>#DIV/0!</v>
      </c>
      <c r="AW10" s="2">
        <v>0</v>
      </c>
      <c r="AX10" s="2">
        <v>0</v>
      </c>
      <c r="AZ10" s="2" t="e">
        <f t="shared" si="12"/>
        <v>#DIV/0!</v>
      </c>
      <c r="BA10" s="26" t="e">
        <f t="shared" si="13"/>
        <v>#DIV/0!</v>
      </c>
      <c r="BB10" s="72" t="e">
        <f t="shared" si="14"/>
        <v>#DIV/0!</v>
      </c>
    </row>
    <row r="11" spans="1:55" x14ac:dyDescent="0.2">
      <c r="A11" s="2" t="s">
        <v>84</v>
      </c>
      <c r="C11" s="2">
        <v>1</v>
      </c>
      <c r="E11" s="2" t="s">
        <v>502</v>
      </c>
      <c r="F11" s="2">
        <v>0</v>
      </c>
      <c r="G11" s="2">
        <v>1</v>
      </c>
      <c r="H11" s="2">
        <v>0</v>
      </c>
      <c r="I11" s="2">
        <v>0</v>
      </c>
      <c r="L11" s="25">
        <f t="shared" si="0"/>
        <v>0.38</v>
      </c>
      <c r="N11" s="26">
        <f t="shared" si="1"/>
        <v>0</v>
      </c>
      <c r="O11" s="26">
        <v>0.38</v>
      </c>
      <c r="Y11" s="31" t="e">
        <f t="shared" si="2"/>
        <v>#DIV/0!</v>
      </c>
      <c r="Z11" s="31" t="e">
        <f t="shared" si="3"/>
        <v>#DIV/0!</v>
      </c>
      <c r="AA11" s="31" t="e">
        <f t="shared" si="4"/>
        <v>#DIV/0!</v>
      </c>
      <c r="AD11" s="26" t="e">
        <f t="shared" si="5"/>
        <v>#DIV/0!</v>
      </c>
      <c r="AE11" s="26" t="e">
        <f t="shared" si="6"/>
        <v>#DIV/0!</v>
      </c>
      <c r="AL11" s="26">
        <f t="shared" si="7"/>
        <v>0</v>
      </c>
      <c r="AM11" s="26" t="e">
        <f t="shared" si="8"/>
        <v>#DIV/0!</v>
      </c>
      <c r="AR11" s="26" t="e">
        <f t="shared" si="9"/>
        <v>#DIV/0!</v>
      </c>
      <c r="AS11" s="26" t="e">
        <f t="shared" si="15"/>
        <v>#DIV/0!</v>
      </c>
      <c r="AT11" s="26" t="e">
        <f t="shared" si="16"/>
        <v>#DIV/0!</v>
      </c>
      <c r="AU11" s="26" t="e">
        <f t="shared" si="10"/>
        <v>#DIV/0!</v>
      </c>
      <c r="AV11" s="72" t="e">
        <f t="shared" si="11"/>
        <v>#DIV/0!</v>
      </c>
      <c r="AW11" s="2">
        <v>0</v>
      </c>
      <c r="AX11" s="2">
        <v>0</v>
      </c>
      <c r="AZ11" s="2" t="e">
        <f t="shared" si="12"/>
        <v>#DIV/0!</v>
      </c>
      <c r="BA11" s="26" t="e">
        <f t="shared" si="13"/>
        <v>#DIV/0!</v>
      </c>
      <c r="BB11" s="72" t="e">
        <f t="shared" si="14"/>
        <v>#DIV/0!</v>
      </c>
    </row>
    <row r="12" spans="1:55" x14ac:dyDescent="0.2">
      <c r="A12" s="2" t="s">
        <v>270</v>
      </c>
      <c r="C12" s="2">
        <v>1</v>
      </c>
      <c r="E12" s="2" t="s">
        <v>502</v>
      </c>
      <c r="F12" s="2">
        <v>0</v>
      </c>
      <c r="G12" s="2">
        <v>0</v>
      </c>
      <c r="H12" s="2">
        <v>0</v>
      </c>
      <c r="I12" s="2">
        <v>0</v>
      </c>
      <c r="L12" s="25">
        <f t="shared" si="0"/>
        <v>0.29799999999999999</v>
      </c>
      <c r="N12" s="26">
        <f t="shared" si="1"/>
        <v>0</v>
      </c>
      <c r="O12" s="26">
        <v>0.29799999999999999</v>
      </c>
      <c r="Y12" s="31" t="e">
        <f t="shared" si="2"/>
        <v>#DIV/0!</v>
      </c>
      <c r="Z12" s="31" t="e">
        <f t="shared" si="3"/>
        <v>#DIV/0!</v>
      </c>
      <c r="AA12" s="31" t="e">
        <f t="shared" si="4"/>
        <v>#DIV/0!</v>
      </c>
      <c r="AD12" s="26" t="e">
        <f t="shared" si="5"/>
        <v>#DIV/0!</v>
      </c>
      <c r="AE12" s="26" t="e">
        <f t="shared" si="6"/>
        <v>#DIV/0!</v>
      </c>
      <c r="AL12" s="26">
        <f t="shared" si="7"/>
        <v>0</v>
      </c>
      <c r="AM12" s="26" t="e">
        <f t="shared" si="8"/>
        <v>#DIV/0!</v>
      </c>
      <c r="AR12" s="26" t="e">
        <f t="shared" si="9"/>
        <v>#DIV/0!</v>
      </c>
      <c r="AS12" s="26" t="e">
        <f t="shared" si="15"/>
        <v>#DIV/0!</v>
      </c>
      <c r="AT12" s="26" t="e">
        <f t="shared" si="16"/>
        <v>#DIV/0!</v>
      </c>
      <c r="AU12" s="26" t="e">
        <f t="shared" si="10"/>
        <v>#DIV/0!</v>
      </c>
      <c r="AV12" s="72" t="e">
        <f t="shared" si="11"/>
        <v>#DIV/0!</v>
      </c>
      <c r="AW12" s="2">
        <v>0</v>
      </c>
      <c r="AX12" s="2">
        <v>0</v>
      </c>
      <c r="AZ12" s="2" t="e">
        <f t="shared" si="12"/>
        <v>#DIV/0!</v>
      </c>
      <c r="BA12" s="26" t="e">
        <f t="shared" si="13"/>
        <v>#DIV/0!</v>
      </c>
      <c r="BB12" s="72" t="e">
        <f t="shared" si="14"/>
        <v>#DIV/0!</v>
      </c>
    </row>
    <row r="13" spans="1:55" x14ac:dyDescent="0.2">
      <c r="A13" s="2" t="s">
        <v>85</v>
      </c>
      <c r="C13" s="2">
        <v>1</v>
      </c>
      <c r="E13" s="2" t="s">
        <v>502</v>
      </c>
      <c r="F13" s="2">
        <v>0</v>
      </c>
      <c r="G13" s="2">
        <v>1</v>
      </c>
      <c r="H13" s="2">
        <v>0</v>
      </c>
      <c r="I13" s="2">
        <v>0</v>
      </c>
      <c r="L13" s="25">
        <f t="shared" si="0"/>
        <v>0.46300000000000002</v>
      </c>
      <c r="N13" s="26">
        <f t="shared" si="1"/>
        <v>0</v>
      </c>
      <c r="O13" s="26">
        <v>0.46300000000000002</v>
      </c>
      <c r="Y13" s="31" t="e">
        <f t="shared" si="2"/>
        <v>#DIV/0!</v>
      </c>
      <c r="Z13" s="31" t="e">
        <f t="shared" si="3"/>
        <v>#DIV/0!</v>
      </c>
      <c r="AA13" s="31" t="e">
        <f t="shared" si="4"/>
        <v>#DIV/0!</v>
      </c>
      <c r="AD13" s="26" t="e">
        <f t="shared" si="5"/>
        <v>#DIV/0!</v>
      </c>
      <c r="AE13" s="26" t="e">
        <f t="shared" si="6"/>
        <v>#DIV/0!</v>
      </c>
      <c r="AL13" s="26">
        <f t="shared" si="7"/>
        <v>0</v>
      </c>
      <c r="AM13" s="26" t="e">
        <f t="shared" si="8"/>
        <v>#DIV/0!</v>
      </c>
      <c r="AR13" s="26" t="e">
        <f t="shared" si="9"/>
        <v>#DIV/0!</v>
      </c>
      <c r="AS13" s="26" t="e">
        <f t="shared" si="15"/>
        <v>#DIV/0!</v>
      </c>
      <c r="AT13" s="26" t="e">
        <f t="shared" si="16"/>
        <v>#DIV/0!</v>
      </c>
      <c r="AU13" s="26" t="e">
        <f t="shared" si="10"/>
        <v>#DIV/0!</v>
      </c>
      <c r="AV13" s="72" t="e">
        <f t="shared" si="11"/>
        <v>#DIV/0!</v>
      </c>
      <c r="AW13" s="2">
        <v>0</v>
      </c>
      <c r="AX13" s="2">
        <v>0</v>
      </c>
      <c r="AZ13" s="2" t="e">
        <f t="shared" si="12"/>
        <v>#DIV/0!</v>
      </c>
      <c r="BA13" s="26" t="e">
        <f t="shared" si="13"/>
        <v>#DIV/0!</v>
      </c>
      <c r="BB13" s="72" t="e">
        <f t="shared" si="14"/>
        <v>#DIV/0!</v>
      </c>
    </row>
    <row r="14" spans="1:55" x14ac:dyDescent="0.2">
      <c r="A14" s="2" t="s">
        <v>86</v>
      </c>
      <c r="C14" s="2">
        <v>1</v>
      </c>
      <c r="E14" s="2" t="s">
        <v>502</v>
      </c>
      <c r="F14" s="2">
        <v>0</v>
      </c>
      <c r="G14" s="2">
        <v>1</v>
      </c>
      <c r="H14" s="2">
        <v>0</v>
      </c>
      <c r="I14" s="2">
        <v>0</v>
      </c>
      <c r="J14" s="25">
        <v>6.4698180000000001</v>
      </c>
      <c r="K14" s="25">
        <v>6.4698180000000001</v>
      </c>
      <c r="L14" s="25">
        <f>SUM(N14:R14)</f>
        <v>0.22168599999999999</v>
      </c>
      <c r="N14" s="26">
        <f t="shared" si="1"/>
        <v>0.22168599999999999</v>
      </c>
      <c r="W14" s="26">
        <v>0.22168599999999999</v>
      </c>
      <c r="Y14" s="31">
        <f t="shared" si="2"/>
        <v>1</v>
      </c>
      <c r="Z14" s="31">
        <f t="shared" si="3"/>
        <v>3.4264642374793229E-2</v>
      </c>
      <c r="AA14" s="31">
        <f t="shared" si="4"/>
        <v>3.4264642374793229E-2</v>
      </c>
      <c r="AB14" s="35">
        <v>9</v>
      </c>
      <c r="AC14" s="26">
        <v>9</v>
      </c>
      <c r="AD14" s="26">
        <f t="shared" si="5"/>
        <v>9</v>
      </c>
      <c r="AE14" s="26">
        <f t="shared" si="6"/>
        <v>0.30838178137313904</v>
      </c>
      <c r="AF14" s="26">
        <f>3/9</f>
        <v>0.33333333333333331</v>
      </c>
      <c r="AG14" s="26">
        <v>2.259652</v>
      </c>
      <c r="AH14" s="26">
        <v>0.845302</v>
      </c>
      <c r="AL14" s="26">
        <f t="shared" si="7"/>
        <v>3.1049540000000002</v>
      </c>
      <c r="AM14" s="26">
        <f t="shared" si="8"/>
        <v>0.10639013840018373</v>
      </c>
      <c r="AO14" s="26">
        <v>0.134519</v>
      </c>
      <c r="AR14" s="26">
        <f t="shared" si="9"/>
        <v>0.10270274205809189</v>
      </c>
      <c r="AS14" s="26">
        <f t="shared" si="15"/>
        <v>0</v>
      </c>
      <c r="AT14" s="26">
        <f t="shared" si="16"/>
        <v>4.6092454276148104E-3</v>
      </c>
      <c r="AU14" s="26">
        <f t="shared" si="10"/>
        <v>0.10731198748570671</v>
      </c>
      <c r="AV14" s="72">
        <f t="shared" si="11"/>
        <v>0.48407200944446971</v>
      </c>
      <c r="AW14" s="2">
        <v>0</v>
      </c>
      <c r="AX14" s="2">
        <v>0</v>
      </c>
      <c r="AZ14" s="2">
        <f t="shared" si="12"/>
        <v>0.10270274205809189</v>
      </c>
      <c r="BA14" s="26">
        <f t="shared" si="13"/>
        <v>0.10731198748570671</v>
      </c>
      <c r="BB14" s="72">
        <f t="shared" si="14"/>
        <v>0.48407200944446971</v>
      </c>
    </row>
    <row r="15" spans="1:55" x14ac:dyDescent="0.2">
      <c r="A15" s="2" t="s">
        <v>271</v>
      </c>
      <c r="C15" s="2">
        <v>1</v>
      </c>
      <c r="E15" s="2" t="s">
        <v>502</v>
      </c>
      <c r="F15" s="2">
        <v>0</v>
      </c>
      <c r="G15" s="2">
        <v>0</v>
      </c>
      <c r="H15" s="2">
        <v>0</v>
      </c>
      <c r="I15" s="2">
        <v>0</v>
      </c>
      <c r="L15" s="25">
        <f>IF(SUM(N15:R15),SUM(N15:R15),M15)</f>
        <v>0.39100000000000001</v>
      </c>
      <c r="N15" s="26">
        <f t="shared" si="1"/>
        <v>0</v>
      </c>
      <c r="O15" s="26">
        <v>0.39100000000000001</v>
      </c>
      <c r="Y15" s="31" t="e">
        <f t="shared" si="2"/>
        <v>#DIV/0!</v>
      </c>
      <c r="Z15" s="31" t="e">
        <f t="shared" si="3"/>
        <v>#DIV/0!</v>
      </c>
      <c r="AA15" s="31" t="e">
        <f t="shared" si="4"/>
        <v>#DIV/0!</v>
      </c>
      <c r="AD15" s="26" t="e">
        <f t="shared" si="5"/>
        <v>#DIV/0!</v>
      </c>
      <c r="AE15" s="26" t="e">
        <f t="shared" si="6"/>
        <v>#DIV/0!</v>
      </c>
      <c r="AL15" s="26">
        <f t="shared" si="7"/>
        <v>0</v>
      </c>
      <c r="AM15" s="26" t="e">
        <f t="shared" si="8"/>
        <v>#DIV/0!</v>
      </c>
      <c r="AR15" s="26" t="e">
        <f t="shared" si="9"/>
        <v>#DIV/0!</v>
      </c>
      <c r="AS15" s="26" t="e">
        <f t="shared" si="15"/>
        <v>#DIV/0!</v>
      </c>
      <c r="AT15" s="26" t="e">
        <f t="shared" si="16"/>
        <v>#DIV/0!</v>
      </c>
      <c r="AU15" s="26" t="e">
        <f t="shared" si="10"/>
        <v>#DIV/0!</v>
      </c>
      <c r="AV15" s="72" t="e">
        <f t="shared" si="11"/>
        <v>#DIV/0!</v>
      </c>
      <c r="AW15" s="2">
        <v>0</v>
      </c>
      <c r="AX15" s="2">
        <v>0</v>
      </c>
      <c r="AZ15" s="2" t="e">
        <f t="shared" si="12"/>
        <v>#DIV/0!</v>
      </c>
      <c r="BA15" s="26" t="e">
        <f t="shared" si="13"/>
        <v>#DIV/0!</v>
      </c>
      <c r="BB15" s="72" t="e">
        <f t="shared" si="14"/>
        <v>#DIV/0!</v>
      </c>
    </row>
    <row r="16" spans="1:55" x14ac:dyDescent="0.2">
      <c r="A16" s="2" t="s">
        <v>88</v>
      </c>
      <c r="C16" s="2">
        <v>1</v>
      </c>
      <c r="E16" s="2" t="s">
        <v>502</v>
      </c>
      <c r="F16" s="2">
        <v>0</v>
      </c>
      <c r="G16" s="2">
        <v>1</v>
      </c>
      <c r="H16" s="2">
        <v>0</v>
      </c>
      <c r="I16" s="2">
        <v>0</v>
      </c>
      <c r="L16" s="25">
        <f>IF(SUM(N16:R16),SUM(N16:R16),M16)</f>
        <v>0.98199999999999998</v>
      </c>
      <c r="N16" s="26">
        <f t="shared" si="1"/>
        <v>0</v>
      </c>
      <c r="O16" s="26">
        <v>0.98199999999999998</v>
      </c>
      <c r="Y16" s="31" t="e">
        <f t="shared" si="2"/>
        <v>#DIV/0!</v>
      </c>
      <c r="Z16" s="31" t="e">
        <f t="shared" si="3"/>
        <v>#DIV/0!</v>
      </c>
      <c r="AA16" s="31" t="e">
        <f t="shared" si="4"/>
        <v>#DIV/0!</v>
      </c>
      <c r="AD16" s="26" t="e">
        <f t="shared" si="5"/>
        <v>#DIV/0!</v>
      </c>
      <c r="AE16" s="26" t="e">
        <f t="shared" si="6"/>
        <v>#DIV/0!</v>
      </c>
      <c r="AL16" s="26">
        <f t="shared" si="7"/>
        <v>0</v>
      </c>
      <c r="AM16" s="26" t="e">
        <f t="shared" si="8"/>
        <v>#DIV/0!</v>
      </c>
      <c r="AR16" s="26" t="e">
        <f t="shared" si="9"/>
        <v>#DIV/0!</v>
      </c>
      <c r="AS16" s="26" t="e">
        <f t="shared" si="15"/>
        <v>#DIV/0!</v>
      </c>
      <c r="AU16" s="26" t="e">
        <f t="shared" si="10"/>
        <v>#DIV/0!</v>
      </c>
      <c r="AV16" s="72" t="e">
        <f t="shared" si="11"/>
        <v>#DIV/0!</v>
      </c>
      <c r="AW16" s="2">
        <v>0</v>
      </c>
      <c r="AX16" s="2">
        <v>0</v>
      </c>
      <c r="AZ16" s="2" t="e">
        <f t="shared" si="12"/>
        <v>#DIV/0!</v>
      </c>
      <c r="BA16" s="26" t="e">
        <f t="shared" si="13"/>
        <v>#DIV/0!</v>
      </c>
      <c r="BB16" s="72" t="e">
        <f t="shared" si="14"/>
        <v>#DIV/0!</v>
      </c>
    </row>
    <row r="17" spans="1:55" x14ac:dyDescent="0.2">
      <c r="A17" s="2" t="s">
        <v>272</v>
      </c>
      <c r="C17" s="2">
        <v>1</v>
      </c>
      <c r="E17" s="2" t="s">
        <v>502</v>
      </c>
      <c r="F17" s="2">
        <v>0</v>
      </c>
      <c r="G17" s="2">
        <v>0</v>
      </c>
      <c r="H17" s="2">
        <v>0</v>
      </c>
      <c r="I17" s="2">
        <v>0</v>
      </c>
      <c r="L17" s="25">
        <f>IF(SUM(N17:R17),SUM(N17:R17),M17)</f>
        <v>0.05</v>
      </c>
      <c r="N17" s="26">
        <f t="shared" si="1"/>
        <v>0</v>
      </c>
      <c r="O17" s="26">
        <v>0.05</v>
      </c>
      <c r="Y17" s="31" t="e">
        <f t="shared" si="2"/>
        <v>#DIV/0!</v>
      </c>
      <c r="Z17" s="31" t="e">
        <f t="shared" si="3"/>
        <v>#DIV/0!</v>
      </c>
      <c r="AA17" s="31" t="e">
        <f t="shared" si="4"/>
        <v>#DIV/0!</v>
      </c>
      <c r="AD17" s="26" t="e">
        <f t="shared" si="5"/>
        <v>#DIV/0!</v>
      </c>
      <c r="AE17" s="26" t="e">
        <f t="shared" si="6"/>
        <v>#DIV/0!</v>
      </c>
      <c r="AL17" s="26">
        <f t="shared" si="7"/>
        <v>0</v>
      </c>
      <c r="AM17" s="26" t="e">
        <f t="shared" si="8"/>
        <v>#DIV/0!</v>
      </c>
      <c r="AR17" s="26" t="e">
        <f t="shared" si="9"/>
        <v>#DIV/0!</v>
      </c>
      <c r="AS17" s="26" t="e">
        <f t="shared" si="15"/>
        <v>#DIV/0!</v>
      </c>
      <c r="AT17" s="26" t="e">
        <f>AO17*Z17</f>
        <v>#DIV/0!</v>
      </c>
      <c r="AU17" s="26" t="e">
        <f t="shared" si="10"/>
        <v>#DIV/0!</v>
      </c>
      <c r="AV17" s="72" t="e">
        <f t="shared" si="11"/>
        <v>#DIV/0!</v>
      </c>
      <c r="AW17" s="2">
        <v>0</v>
      </c>
      <c r="AX17" s="2">
        <v>0</v>
      </c>
      <c r="AZ17" s="2" t="e">
        <f t="shared" si="12"/>
        <v>#DIV/0!</v>
      </c>
      <c r="BA17" s="26" t="e">
        <f t="shared" si="13"/>
        <v>#DIV/0!</v>
      </c>
      <c r="BB17" s="72" t="e">
        <f t="shared" si="14"/>
        <v>#DIV/0!</v>
      </c>
    </row>
    <row r="18" spans="1:55" x14ac:dyDescent="0.2">
      <c r="A18" s="2" t="s">
        <v>89</v>
      </c>
      <c r="C18" s="2">
        <v>1</v>
      </c>
      <c r="E18" s="2" t="s">
        <v>502</v>
      </c>
      <c r="F18" s="2">
        <v>0</v>
      </c>
      <c r="G18" s="2">
        <v>1</v>
      </c>
      <c r="H18" s="2">
        <v>0</v>
      </c>
      <c r="I18" s="2">
        <v>0</v>
      </c>
      <c r="J18" s="25">
        <v>15.376431999999999</v>
      </c>
      <c r="L18" s="25">
        <f>SUM(N18:R18)</f>
        <v>0.45</v>
      </c>
      <c r="N18" s="26">
        <f t="shared" si="1"/>
        <v>0</v>
      </c>
      <c r="O18" s="26">
        <v>0.45</v>
      </c>
      <c r="Y18" s="31">
        <f t="shared" si="2"/>
        <v>2.9265566940366923E-2</v>
      </c>
      <c r="Z18" s="31">
        <f t="shared" si="3"/>
        <v>2.9265566940366923E-2</v>
      </c>
      <c r="AA18" s="31">
        <f t="shared" si="4"/>
        <v>1</v>
      </c>
      <c r="AB18" s="35">
        <v>9.6</v>
      </c>
      <c r="AC18" s="26">
        <v>9.6</v>
      </c>
      <c r="AD18" s="26">
        <f t="shared" si="5"/>
        <v>0.28094944262752247</v>
      </c>
      <c r="AE18" s="26">
        <f t="shared" si="6"/>
        <v>0.28094944262752247</v>
      </c>
      <c r="AF18" s="26">
        <f>1.8/9.6</f>
        <v>0.1875</v>
      </c>
      <c r="AG18" s="26">
        <v>4.0829940000000002</v>
      </c>
      <c r="AH18" s="26">
        <v>1.4153500000000001</v>
      </c>
      <c r="AK18" s="35">
        <v>800</v>
      </c>
      <c r="AL18" s="26">
        <f t="shared" si="7"/>
        <v>5.4983440000000003</v>
      </c>
      <c r="AM18" s="26">
        <f t="shared" si="8"/>
        <v>0.16091215439316486</v>
      </c>
      <c r="AR18" s="26">
        <f t="shared" si="9"/>
        <v>0.16091215439316484</v>
      </c>
      <c r="AS18" s="26">
        <f t="shared" si="15"/>
        <v>0</v>
      </c>
      <c r="AU18" s="26">
        <f t="shared" si="10"/>
        <v>0.16091215439316484</v>
      </c>
      <c r="AV18" s="72">
        <f t="shared" si="11"/>
        <v>0.35758256531814409</v>
      </c>
      <c r="AW18" s="2">
        <v>0</v>
      </c>
      <c r="AX18" s="2">
        <v>0</v>
      </c>
      <c r="AZ18" s="2">
        <f t="shared" si="12"/>
        <v>0.16091215439316484</v>
      </c>
      <c r="BA18" s="26">
        <f t="shared" si="13"/>
        <v>0.16091215439316484</v>
      </c>
      <c r="BB18" s="72">
        <f t="shared" si="14"/>
        <v>0.35758256531814409</v>
      </c>
    </row>
    <row r="19" spans="1:55" x14ac:dyDescent="0.2">
      <c r="A19" s="2" t="s">
        <v>47</v>
      </c>
      <c r="C19" s="2">
        <v>1</v>
      </c>
      <c r="E19" s="2" t="s">
        <v>502</v>
      </c>
      <c r="F19" s="2">
        <v>0</v>
      </c>
      <c r="G19" s="2">
        <v>0</v>
      </c>
      <c r="H19" s="2">
        <v>1</v>
      </c>
      <c r="I19" s="2">
        <v>0</v>
      </c>
      <c r="J19" s="25">
        <v>50.500999999999998</v>
      </c>
      <c r="L19" s="25">
        <f>SUM(N19:R19)</f>
        <v>0.44</v>
      </c>
      <c r="N19" s="26">
        <f t="shared" si="1"/>
        <v>0</v>
      </c>
      <c r="P19" s="26">
        <v>0.44</v>
      </c>
      <c r="Y19" s="31">
        <f t="shared" si="2"/>
        <v>8.7126987584404281E-3</v>
      </c>
      <c r="Z19" s="31">
        <f t="shared" si="3"/>
        <v>8.7126987584404281E-3</v>
      </c>
      <c r="AA19" s="31">
        <f t="shared" si="4"/>
        <v>1</v>
      </c>
      <c r="AB19" s="35">
        <v>50</v>
      </c>
      <c r="AC19" s="26">
        <v>50</v>
      </c>
      <c r="AD19" s="26">
        <f t="shared" si="5"/>
        <v>0.4356349379220214</v>
      </c>
      <c r="AE19" s="26">
        <f t="shared" si="6"/>
        <v>0.4356349379220214</v>
      </c>
      <c r="AF19" s="26">
        <f>26/50</f>
        <v>0.52</v>
      </c>
      <c r="AG19" s="26">
        <v>17.297000000000001</v>
      </c>
      <c r="AH19" s="26">
        <v>9.7989999999999995</v>
      </c>
      <c r="AK19" s="35">
        <v>14562</v>
      </c>
      <c r="AL19" s="26">
        <f t="shared" si="7"/>
        <v>27.096</v>
      </c>
      <c r="AM19" s="26">
        <f t="shared" si="8"/>
        <v>0.23607928555870183</v>
      </c>
      <c r="AR19" s="26">
        <f t="shared" si="9"/>
        <v>0.23607928555870183</v>
      </c>
      <c r="AS19" s="26">
        <f t="shared" si="15"/>
        <v>0</v>
      </c>
      <c r="AT19" s="26">
        <f>AO19*Z19</f>
        <v>0</v>
      </c>
      <c r="AU19" s="26">
        <f t="shared" si="10"/>
        <v>0.23607928555870183</v>
      </c>
      <c r="AV19" s="72">
        <f t="shared" si="11"/>
        <v>0.53654383081523149</v>
      </c>
      <c r="AW19" s="2">
        <v>0</v>
      </c>
      <c r="AX19" s="2">
        <v>0</v>
      </c>
      <c r="AZ19" s="2">
        <f t="shared" si="12"/>
        <v>0.23607928555870183</v>
      </c>
      <c r="BA19" s="26">
        <f t="shared" si="13"/>
        <v>0.23607928555870183</v>
      </c>
      <c r="BB19" s="72">
        <f t="shared" si="14"/>
        <v>0.53654383081523149</v>
      </c>
    </row>
    <row r="20" spans="1:55" x14ac:dyDescent="0.2">
      <c r="A20" s="2" t="s">
        <v>157</v>
      </c>
      <c r="C20" s="2">
        <v>1</v>
      </c>
      <c r="E20" s="2" t="s">
        <v>502</v>
      </c>
      <c r="F20" s="2">
        <v>0</v>
      </c>
      <c r="G20" s="2">
        <v>0</v>
      </c>
      <c r="H20" s="2">
        <v>0</v>
      </c>
      <c r="I20" s="2">
        <v>0</v>
      </c>
      <c r="J20" s="25">
        <v>6.7259440000000001</v>
      </c>
      <c r="L20" s="25">
        <f>IF(SUM(N20:R20),SUM(N20:R20),M20)</f>
        <v>0.68940000000000001</v>
      </c>
      <c r="M20" s="26">
        <v>0.68940000000000001</v>
      </c>
      <c r="N20" s="26">
        <f t="shared" si="1"/>
        <v>0</v>
      </c>
      <c r="Y20" s="31">
        <f t="shared" si="2"/>
        <v>0.10249862324158512</v>
      </c>
      <c r="Z20" s="31">
        <f t="shared" si="3"/>
        <v>0.10249862324158512</v>
      </c>
      <c r="AA20" s="31">
        <f t="shared" si="4"/>
        <v>1</v>
      </c>
      <c r="AB20" s="35">
        <v>8</v>
      </c>
      <c r="AC20" s="26">
        <v>8</v>
      </c>
      <c r="AD20" s="26">
        <f t="shared" si="5"/>
        <v>0.81998898593268099</v>
      </c>
      <c r="AE20" s="26">
        <f t="shared" si="6"/>
        <v>0.81998898593268099</v>
      </c>
      <c r="AF20" s="26">
        <f>2/8</f>
        <v>0.25</v>
      </c>
      <c r="AG20" s="26">
        <v>1.9659009999999999</v>
      </c>
      <c r="AH20" s="26">
        <v>0.57156300000000004</v>
      </c>
      <c r="AL20" s="26">
        <f t="shared" si="7"/>
        <v>2.5374639999999999</v>
      </c>
      <c r="AM20" s="26">
        <f t="shared" si="8"/>
        <v>0.26008656652508555</v>
      </c>
      <c r="AO20" s="26">
        <v>0.27437499999999998</v>
      </c>
      <c r="AR20" s="26">
        <f t="shared" si="9"/>
        <v>0</v>
      </c>
      <c r="AS20" s="26">
        <v>0.68899999999999995</v>
      </c>
      <c r="AT20" s="26">
        <f>AO20*Z20</f>
        <v>2.8123059751909915E-2</v>
      </c>
      <c r="AU20" s="26">
        <f t="shared" si="10"/>
        <v>0.71712305975190982</v>
      </c>
      <c r="AV20" s="72">
        <f t="shared" si="11"/>
        <v>1.040213315567029</v>
      </c>
      <c r="AW20" s="2">
        <v>0</v>
      </c>
      <c r="AX20" s="2">
        <v>0</v>
      </c>
      <c r="AZ20" s="2">
        <f t="shared" si="12"/>
        <v>0.23758811872355762</v>
      </c>
      <c r="BA20" s="26">
        <f t="shared" si="13"/>
        <v>0.26571117847546755</v>
      </c>
      <c r="BB20" s="72">
        <f t="shared" si="14"/>
        <v>0.38542381560120037</v>
      </c>
      <c r="BC20" s="2" t="s">
        <v>466</v>
      </c>
    </row>
    <row r="21" spans="1:55" x14ac:dyDescent="0.2">
      <c r="A21" s="2" t="s">
        <v>51</v>
      </c>
      <c r="C21" s="2">
        <v>1</v>
      </c>
      <c r="E21" s="2" t="s">
        <v>502</v>
      </c>
      <c r="F21" s="2">
        <v>0</v>
      </c>
      <c r="G21" s="2">
        <v>0</v>
      </c>
      <c r="H21" s="2">
        <v>1</v>
      </c>
      <c r="I21" s="2">
        <v>0</v>
      </c>
      <c r="L21" s="25">
        <f>IF(SUM(N21:R21),SUM(N21:R21),M21)</f>
        <v>2.5999999999999999E-2</v>
      </c>
      <c r="N21" s="26">
        <f t="shared" si="1"/>
        <v>0</v>
      </c>
      <c r="P21" s="26">
        <v>2.5999999999999999E-2</v>
      </c>
      <c r="Y21" s="31" t="e">
        <f t="shared" si="2"/>
        <v>#DIV/0!</v>
      </c>
      <c r="Z21" s="31" t="e">
        <f t="shared" si="3"/>
        <v>#DIV/0!</v>
      </c>
      <c r="AA21" s="31" t="e">
        <f t="shared" si="4"/>
        <v>#DIV/0!</v>
      </c>
      <c r="AD21" s="26" t="e">
        <f t="shared" si="5"/>
        <v>#DIV/0!</v>
      </c>
      <c r="AE21" s="26" t="e">
        <f t="shared" si="6"/>
        <v>#DIV/0!</v>
      </c>
      <c r="AL21" s="26">
        <f t="shared" si="7"/>
        <v>0</v>
      </c>
      <c r="AM21" s="26" t="e">
        <f t="shared" si="8"/>
        <v>#DIV/0!</v>
      </c>
      <c r="AR21" s="26" t="e">
        <f t="shared" si="9"/>
        <v>#DIV/0!</v>
      </c>
      <c r="AS21" s="26" t="e">
        <f t="shared" ref="AS21:AS34" si="17">AN21*Z21</f>
        <v>#DIV/0!</v>
      </c>
      <c r="AU21" s="26" t="e">
        <f t="shared" si="10"/>
        <v>#DIV/0!</v>
      </c>
      <c r="AV21" s="72" t="e">
        <f t="shared" si="11"/>
        <v>#DIV/0!</v>
      </c>
      <c r="AW21" s="2">
        <v>0</v>
      </c>
      <c r="AX21" s="2">
        <v>0</v>
      </c>
      <c r="AZ21" s="2" t="e">
        <f t="shared" si="12"/>
        <v>#DIV/0!</v>
      </c>
      <c r="BA21" s="26" t="e">
        <f>AZ21+V21</f>
        <v>#DIV/0!</v>
      </c>
      <c r="BB21" s="72" t="e">
        <f t="shared" si="14"/>
        <v>#DIV/0!</v>
      </c>
    </row>
    <row r="22" spans="1:55" x14ac:dyDescent="0.2">
      <c r="A22" s="2" t="s">
        <v>93</v>
      </c>
      <c r="C22" s="2">
        <v>1</v>
      </c>
      <c r="E22" s="2" t="s">
        <v>502</v>
      </c>
      <c r="F22" s="2">
        <v>0</v>
      </c>
      <c r="G22" s="2">
        <v>1</v>
      </c>
      <c r="H22" s="2">
        <v>0</v>
      </c>
      <c r="I22" s="2">
        <v>0</v>
      </c>
      <c r="J22" s="25">
        <v>2.2915459999999999</v>
      </c>
      <c r="L22" s="25">
        <f>SUM(N22:R22)</f>
        <v>0.91559699999999999</v>
      </c>
      <c r="N22" s="26">
        <f t="shared" si="1"/>
        <v>0</v>
      </c>
      <c r="O22" s="26">
        <f>0.473+0.442597</f>
        <v>0.91559699999999999</v>
      </c>
      <c r="Y22" s="31">
        <f t="shared" si="2"/>
        <v>0.39955427471235577</v>
      </c>
      <c r="Z22" s="31">
        <f t="shared" si="3"/>
        <v>0.39955427471235577</v>
      </c>
      <c r="AA22" s="31">
        <f t="shared" si="4"/>
        <v>1</v>
      </c>
      <c r="AB22" s="35">
        <v>3</v>
      </c>
      <c r="AC22" s="26">
        <v>3</v>
      </c>
      <c r="AD22" s="26">
        <f t="shared" si="5"/>
        <v>1.1986628241370674</v>
      </c>
      <c r="AE22" s="26">
        <f t="shared" si="6"/>
        <v>1.1986628241370674</v>
      </c>
      <c r="AF22" s="26">
        <f>0.4/3</f>
        <v>0.13333333333333333</v>
      </c>
      <c r="AG22" s="26">
        <v>1.17865</v>
      </c>
      <c r="AH22" s="26">
        <v>0.38422600000000001</v>
      </c>
      <c r="AK22" s="35">
        <v>172</v>
      </c>
      <c r="AL22" s="26">
        <f t="shared" si="7"/>
        <v>1.5628759999999999</v>
      </c>
      <c r="AM22" s="26">
        <f t="shared" si="8"/>
        <v>0.62445378664534779</v>
      </c>
      <c r="AR22" s="26">
        <f t="shared" si="9"/>
        <v>0.62445378664534767</v>
      </c>
      <c r="AS22" s="26">
        <f t="shared" si="17"/>
        <v>0</v>
      </c>
      <c r="AU22" s="26">
        <f t="shared" si="10"/>
        <v>0.62445378664534767</v>
      </c>
      <c r="AV22" s="72">
        <f t="shared" si="11"/>
        <v>0.68201816590197184</v>
      </c>
      <c r="AW22" s="2">
        <v>0</v>
      </c>
      <c r="AX22" s="2">
        <v>0</v>
      </c>
      <c r="AZ22" s="2">
        <f t="shared" si="12"/>
        <v>0.62445378664534767</v>
      </c>
      <c r="BA22" s="26">
        <f t="shared" ref="BA22:BA68" si="18">AZ22+AT22</f>
        <v>0.62445378664534767</v>
      </c>
      <c r="BB22" s="72">
        <f t="shared" si="14"/>
        <v>0.68201816590197184</v>
      </c>
    </row>
    <row r="23" spans="1:55" x14ac:dyDescent="0.2">
      <c r="A23" s="2" t="s">
        <v>94</v>
      </c>
      <c r="C23" s="2">
        <v>1</v>
      </c>
      <c r="E23" s="2" t="s">
        <v>502</v>
      </c>
      <c r="F23" s="2">
        <v>0</v>
      </c>
      <c r="G23" s="2">
        <v>1</v>
      </c>
      <c r="H23" s="2">
        <v>0</v>
      </c>
      <c r="I23" s="2">
        <v>0</v>
      </c>
      <c r="L23" s="25">
        <f>IF(SUM(N23:R23),SUM(N23:R23),M23)</f>
        <v>0.4</v>
      </c>
      <c r="N23" s="26">
        <f t="shared" si="1"/>
        <v>0</v>
      </c>
      <c r="O23" s="26">
        <v>0.4</v>
      </c>
      <c r="Y23" s="31" t="e">
        <f t="shared" si="2"/>
        <v>#DIV/0!</v>
      </c>
      <c r="Z23" s="31" t="e">
        <f t="shared" si="3"/>
        <v>#DIV/0!</v>
      </c>
      <c r="AA23" s="31" t="e">
        <f t="shared" si="4"/>
        <v>#DIV/0!</v>
      </c>
      <c r="AD23" s="26" t="e">
        <f t="shared" si="5"/>
        <v>#DIV/0!</v>
      </c>
      <c r="AE23" s="26" t="e">
        <f t="shared" si="6"/>
        <v>#DIV/0!</v>
      </c>
      <c r="AL23" s="26">
        <f t="shared" si="7"/>
        <v>0</v>
      </c>
      <c r="AM23" s="26" t="e">
        <f t="shared" si="8"/>
        <v>#DIV/0!</v>
      </c>
      <c r="AR23" s="26" t="e">
        <f t="shared" si="9"/>
        <v>#DIV/0!</v>
      </c>
      <c r="AS23" s="26" t="e">
        <f t="shared" si="17"/>
        <v>#DIV/0!</v>
      </c>
      <c r="AU23" s="26" t="e">
        <f t="shared" si="10"/>
        <v>#DIV/0!</v>
      </c>
      <c r="AV23" s="72" t="e">
        <f t="shared" si="11"/>
        <v>#DIV/0!</v>
      </c>
      <c r="AW23" s="2">
        <v>0</v>
      </c>
      <c r="AX23" s="2">
        <v>0</v>
      </c>
      <c r="AZ23" s="2" t="e">
        <f t="shared" si="12"/>
        <v>#DIV/0!</v>
      </c>
      <c r="BA23" s="26" t="e">
        <f t="shared" si="18"/>
        <v>#DIV/0!</v>
      </c>
      <c r="BB23" s="72" t="e">
        <f t="shared" si="14"/>
        <v>#DIV/0!</v>
      </c>
    </row>
    <row r="24" spans="1:55" x14ac:dyDescent="0.2">
      <c r="A24" s="2" t="s">
        <v>95</v>
      </c>
      <c r="C24" s="2">
        <v>1</v>
      </c>
      <c r="E24" s="2" t="s">
        <v>502</v>
      </c>
      <c r="F24" s="2">
        <v>0</v>
      </c>
      <c r="G24" s="2">
        <v>1</v>
      </c>
      <c r="H24" s="2">
        <v>0</v>
      </c>
      <c r="I24" s="2">
        <v>0</v>
      </c>
      <c r="L24" s="25">
        <f>IF(SUM(N24:R24),SUM(N24:R24),M24)</f>
        <v>0.99119999999999997</v>
      </c>
      <c r="N24" s="26">
        <f t="shared" si="1"/>
        <v>0</v>
      </c>
      <c r="O24" s="26">
        <v>0.99119999999999997</v>
      </c>
      <c r="Y24" s="31" t="e">
        <f t="shared" si="2"/>
        <v>#DIV/0!</v>
      </c>
      <c r="Z24" s="31" t="e">
        <f t="shared" si="3"/>
        <v>#DIV/0!</v>
      </c>
      <c r="AA24" s="31" t="e">
        <f t="shared" si="4"/>
        <v>#DIV/0!</v>
      </c>
      <c r="AD24" s="26" t="e">
        <f t="shared" si="5"/>
        <v>#DIV/0!</v>
      </c>
      <c r="AE24" s="26" t="e">
        <f t="shared" si="6"/>
        <v>#DIV/0!</v>
      </c>
      <c r="AL24" s="26">
        <f t="shared" si="7"/>
        <v>0</v>
      </c>
      <c r="AM24" s="26" t="e">
        <f t="shared" si="8"/>
        <v>#DIV/0!</v>
      </c>
      <c r="AR24" s="26" t="e">
        <f t="shared" si="9"/>
        <v>#DIV/0!</v>
      </c>
      <c r="AS24" s="26" t="e">
        <f t="shared" si="17"/>
        <v>#DIV/0!</v>
      </c>
      <c r="AU24" s="26" t="e">
        <f t="shared" si="10"/>
        <v>#DIV/0!</v>
      </c>
      <c r="AV24" s="72" t="e">
        <f t="shared" si="11"/>
        <v>#DIV/0!</v>
      </c>
      <c r="AW24" s="2">
        <v>0</v>
      </c>
      <c r="AX24" s="2">
        <v>0</v>
      </c>
      <c r="AZ24" s="2" t="e">
        <f t="shared" si="12"/>
        <v>#DIV/0!</v>
      </c>
      <c r="BA24" s="26" t="e">
        <f t="shared" si="18"/>
        <v>#DIV/0!</v>
      </c>
      <c r="BB24" s="72" t="e">
        <f t="shared" si="14"/>
        <v>#DIV/0!</v>
      </c>
    </row>
    <row r="25" spans="1:55" x14ac:dyDescent="0.2">
      <c r="A25" s="2" t="s">
        <v>273</v>
      </c>
      <c r="C25" s="2">
        <v>1</v>
      </c>
      <c r="E25" s="2" t="s">
        <v>502</v>
      </c>
      <c r="F25" s="2">
        <v>0</v>
      </c>
      <c r="G25" s="2">
        <v>0</v>
      </c>
      <c r="H25" s="2">
        <v>0</v>
      </c>
      <c r="I25" s="2">
        <v>0</v>
      </c>
      <c r="L25" s="25">
        <f>IF(SUM(N25:R25),SUM(N25:R25),M25)</f>
        <v>0.17399999999999999</v>
      </c>
      <c r="N25" s="26">
        <f t="shared" si="1"/>
        <v>0</v>
      </c>
      <c r="O25" s="26">
        <v>0.17399999999999999</v>
      </c>
      <c r="Y25" s="31" t="e">
        <f t="shared" si="2"/>
        <v>#DIV/0!</v>
      </c>
      <c r="Z25" s="31" t="e">
        <f t="shared" si="3"/>
        <v>#DIV/0!</v>
      </c>
      <c r="AA25" s="31" t="e">
        <f t="shared" si="4"/>
        <v>#DIV/0!</v>
      </c>
      <c r="AD25" s="26" t="e">
        <f t="shared" si="5"/>
        <v>#DIV/0!</v>
      </c>
      <c r="AE25" s="26" t="e">
        <f t="shared" si="6"/>
        <v>#DIV/0!</v>
      </c>
      <c r="AL25" s="26">
        <f t="shared" si="7"/>
        <v>0</v>
      </c>
      <c r="AM25" s="26" t="e">
        <f t="shared" si="8"/>
        <v>#DIV/0!</v>
      </c>
      <c r="AR25" s="26" t="e">
        <f t="shared" si="9"/>
        <v>#DIV/0!</v>
      </c>
      <c r="AS25" s="26" t="e">
        <f t="shared" si="17"/>
        <v>#DIV/0!</v>
      </c>
      <c r="AT25" s="26" t="e">
        <f>AO25*Z25</f>
        <v>#DIV/0!</v>
      </c>
      <c r="AU25" s="26" t="e">
        <f t="shared" si="10"/>
        <v>#DIV/0!</v>
      </c>
      <c r="AV25" s="72" t="e">
        <f t="shared" si="11"/>
        <v>#DIV/0!</v>
      </c>
      <c r="AW25" s="2">
        <v>0</v>
      </c>
      <c r="AX25" s="2">
        <v>0</v>
      </c>
      <c r="AZ25" s="2" t="e">
        <f t="shared" si="12"/>
        <v>#DIV/0!</v>
      </c>
      <c r="BA25" s="26" t="e">
        <f t="shared" si="18"/>
        <v>#DIV/0!</v>
      </c>
      <c r="BB25" s="72" t="e">
        <f t="shared" si="14"/>
        <v>#DIV/0!</v>
      </c>
    </row>
    <row r="26" spans="1:55" x14ac:dyDescent="0.2">
      <c r="A26" s="2" t="s">
        <v>274</v>
      </c>
      <c r="C26" s="2">
        <v>1</v>
      </c>
      <c r="E26" s="2" t="s">
        <v>502</v>
      </c>
      <c r="F26" s="2">
        <v>0</v>
      </c>
      <c r="G26" s="2">
        <v>0</v>
      </c>
      <c r="H26" s="2">
        <v>0</v>
      </c>
      <c r="I26" s="2">
        <v>0</v>
      </c>
      <c r="L26" s="25">
        <f>IF(SUM(N26:R26),SUM(N26:R26),M26)</f>
        <v>0.2</v>
      </c>
      <c r="N26" s="26">
        <f t="shared" si="1"/>
        <v>0</v>
      </c>
      <c r="O26" s="26">
        <v>0.2</v>
      </c>
      <c r="Y26" s="31" t="e">
        <f t="shared" si="2"/>
        <v>#DIV/0!</v>
      </c>
      <c r="Z26" s="31" t="e">
        <f t="shared" si="3"/>
        <v>#DIV/0!</v>
      </c>
      <c r="AA26" s="31" t="e">
        <f t="shared" si="4"/>
        <v>#DIV/0!</v>
      </c>
      <c r="AD26" s="26" t="e">
        <f t="shared" si="5"/>
        <v>#DIV/0!</v>
      </c>
      <c r="AE26" s="26" t="e">
        <f t="shared" si="6"/>
        <v>#DIV/0!</v>
      </c>
      <c r="AL26" s="26">
        <f t="shared" si="7"/>
        <v>0</v>
      </c>
      <c r="AM26" s="26" t="e">
        <f t="shared" si="8"/>
        <v>#DIV/0!</v>
      </c>
      <c r="AR26" s="26" t="e">
        <f t="shared" si="9"/>
        <v>#DIV/0!</v>
      </c>
      <c r="AS26" s="26" t="e">
        <f t="shared" si="17"/>
        <v>#DIV/0!</v>
      </c>
      <c r="AT26" s="26" t="e">
        <f>AO26*Z26</f>
        <v>#DIV/0!</v>
      </c>
      <c r="AU26" s="26" t="e">
        <f t="shared" si="10"/>
        <v>#DIV/0!</v>
      </c>
      <c r="AV26" s="72" t="e">
        <f t="shared" si="11"/>
        <v>#DIV/0!</v>
      </c>
      <c r="AW26" s="2">
        <v>0</v>
      </c>
      <c r="AX26" s="2">
        <v>0</v>
      </c>
      <c r="AZ26" s="2" t="e">
        <f t="shared" si="12"/>
        <v>#DIV/0!</v>
      </c>
      <c r="BA26" s="26" t="e">
        <f t="shared" si="18"/>
        <v>#DIV/0!</v>
      </c>
      <c r="BB26" s="72" t="e">
        <f t="shared" si="14"/>
        <v>#DIV/0!</v>
      </c>
    </row>
    <row r="27" spans="1:55" x14ac:dyDescent="0.2">
      <c r="A27" s="2" t="s">
        <v>275</v>
      </c>
      <c r="C27" s="2">
        <v>1</v>
      </c>
      <c r="E27" s="2" t="s">
        <v>502</v>
      </c>
      <c r="F27" s="2">
        <v>0</v>
      </c>
      <c r="G27" s="2">
        <v>0</v>
      </c>
      <c r="H27" s="2">
        <v>0</v>
      </c>
      <c r="I27" s="2">
        <v>0</v>
      </c>
      <c r="L27" s="25">
        <f>IF(SUM(N27:R27),SUM(N27:R27),M27)</f>
        <v>0.25</v>
      </c>
      <c r="N27" s="26">
        <f t="shared" si="1"/>
        <v>0</v>
      </c>
      <c r="O27" s="26">
        <v>0.25</v>
      </c>
      <c r="Y27" s="31" t="e">
        <f t="shared" si="2"/>
        <v>#DIV/0!</v>
      </c>
      <c r="Z27" s="31" t="e">
        <f t="shared" si="3"/>
        <v>#DIV/0!</v>
      </c>
      <c r="AA27" s="31" t="e">
        <f t="shared" si="4"/>
        <v>#DIV/0!</v>
      </c>
      <c r="AD27" s="26" t="e">
        <f t="shared" si="5"/>
        <v>#DIV/0!</v>
      </c>
      <c r="AE27" s="26" t="e">
        <f t="shared" si="6"/>
        <v>#DIV/0!</v>
      </c>
      <c r="AL27" s="26">
        <f t="shared" si="7"/>
        <v>0</v>
      </c>
      <c r="AM27" s="26" t="e">
        <f t="shared" si="8"/>
        <v>#DIV/0!</v>
      </c>
      <c r="AR27" s="26" t="e">
        <f t="shared" si="9"/>
        <v>#DIV/0!</v>
      </c>
      <c r="AS27" s="26" t="e">
        <f t="shared" si="17"/>
        <v>#DIV/0!</v>
      </c>
      <c r="AT27" s="26" t="e">
        <f>AO27*Z27</f>
        <v>#DIV/0!</v>
      </c>
      <c r="AU27" s="26" t="e">
        <f t="shared" si="10"/>
        <v>#DIV/0!</v>
      </c>
      <c r="AV27" s="72" t="e">
        <f t="shared" si="11"/>
        <v>#DIV/0!</v>
      </c>
      <c r="AW27" s="2">
        <v>0</v>
      </c>
      <c r="AX27" s="2">
        <v>0</v>
      </c>
      <c r="AZ27" s="2" t="e">
        <f t="shared" si="12"/>
        <v>#DIV/0!</v>
      </c>
      <c r="BA27" s="26" t="e">
        <f t="shared" si="18"/>
        <v>#DIV/0!</v>
      </c>
      <c r="BB27" s="72" t="e">
        <f t="shared" si="14"/>
        <v>#DIV/0!</v>
      </c>
    </row>
    <row r="28" spans="1:55" x14ac:dyDescent="0.2">
      <c r="A28" s="2" t="s">
        <v>53</v>
      </c>
      <c r="C28" s="2">
        <v>1</v>
      </c>
      <c r="E28" s="2" t="s">
        <v>502</v>
      </c>
      <c r="F28" s="2">
        <v>0</v>
      </c>
      <c r="G28" s="2">
        <v>0</v>
      </c>
      <c r="H28" s="2">
        <v>1</v>
      </c>
      <c r="I28" s="2">
        <v>0</v>
      </c>
      <c r="J28" s="25">
        <v>713.13960999999995</v>
      </c>
      <c r="L28" s="25">
        <f>SUM(N28:R28)</f>
        <v>0.30299999999999999</v>
      </c>
      <c r="N28" s="26">
        <f t="shared" si="1"/>
        <v>0</v>
      </c>
      <c r="P28" s="26">
        <f>0.303</f>
        <v>0.30299999999999999</v>
      </c>
      <c r="Y28" s="31">
        <f t="shared" si="2"/>
        <v>4.2488174230008067E-4</v>
      </c>
      <c r="Z28" s="31">
        <f t="shared" si="3"/>
        <v>4.2488174230008067E-4</v>
      </c>
      <c r="AA28" s="31">
        <f t="shared" si="4"/>
        <v>1</v>
      </c>
      <c r="AB28" s="35">
        <v>928</v>
      </c>
      <c r="AC28" s="26">
        <v>928</v>
      </c>
      <c r="AD28" s="26">
        <f t="shared" si="5"/>
        <v>0.39429025685447489</v>
      </c>
      <c r="AE28" s="26">
        <f t="shared" si="6"/>
        <v>0.39429025685447489</v>
      </c>
      <c r="AF28" s="26">
        <f>365/928</f>
        <v>0.39331896551724138</v>
      </c>
      <c r="AG28" s="26">
        <v>298.31638099999998</v>
      </c>
      <c r="AH28" s="26">
        <v>110.269308</v>
      </c>
      <c r="AL28" s="26">
        <f t="shared" si="7"/>
        <v>408.585689</v>
      </c>
      <c r="AM28" s="26">
        <f t="shared" si="8"/>
        <v>0.17360059942119893</v>
      </c>
      <c r="AR28" s="26">
        <f t="shared" si="9"/>
        <v>0.1736005994211989</v>
      </c>
      <c r="AS28" s="26">
        <f t="shared" si="17"/>
        <v>0</v>
      </c>
      <c r="AU28" s="26">
        <f t="shared" si="10"/>
        <v>0.1736005994211989</v>
      </c>
      <c r="AV28" s="72">
        <f t="shared" si="11"/>
        <v>0.57293927201715811</v>
      </c>
      <c r="AW28" s="2">
        <v>0</v>
      </c>
      <c r="AX28" s="2">
        <v>0</v>
      </c>
      <c r="AZ28" s="2">
        <f t="shared" si="12"/>
        <v>0.1736005994211989</v>
      </c>
      <c r="BA28" s="26">
        <f t="shared" si="18"/>
        <v>0.1736005994211989</v>
      </c>
      <c r="BB28" s="72">
        <f t="shared" si="14"/>
        <v>0.57293927201715811</v>
      </c>
    </row>
    <row r="29" spans="1:55" x14ac:dyDescent="0.2">
      <c r="A29" s="2" t="s">
        <v>276</v>
      </c>
      <c r="C29" s="2">
        <v>1</v>
      </c>
      <c r="E29" s="2" t="s">
        <v>502</v>
      </c>
      <c r="F29" s="2">
        <v>0</v>
      </c>
      <c r="G29" s="2">
        <v>0</v>
      </c>
      <c r="H29" s="2">
        <v>0</v>
      </c>
      <c r="I29" s="2">
        <v>0</v>
      </c>
      <c r="L29" s="25">
        <f t="shared" ref="L29:L34" si="19">IF(SUM(N29:R29),SUM(N29:R29),M29)</f>
        <v>0.85099999999999998</v>
      </c>
      <c r="N29" s="26">
        <f t="shared" si="1"/>
        <v>0</v>
      </c>
      <c r="O29" s="26">
        <v>0.85099999999999998</v>
      </c>
      <c r="Y29" s="31" t="e">
        <f t="shared" si="2"/>
        <v>#DIV/0!</v>
      </c>
      <c r="Z29" s="31" t="e">
        <f t="shared" si="3"/>
        <v>#DIV/0!</v>
      </c>
      <c r="AA29" s="31" t="e">
        <f t="shared" si="4"/>
        <v>#DIV/0!</v>
      </c>
      <c r="AD29" s="26" t="e">
        <f t="shared" si="5"/>
        <v>#DIV/0!</v>
      </c>
      <c r="AE29" s="26" t="e">
        <f t="shared" si="6"/>
        <v>#DIV/0!</v>
      </c>
      <c r="AL29" s="26">
        <f t="shared" si="7"/>
        <v>0</v>
      </c>
      <c r="AM29" s="26" t="e">
        <f t="shared" si="8"/>
        <v>#DIV/0!</v>
      </c>
      <c r="AR29" s="26" t="e">
        <f t="shared" si="9"/>
        <v>#DIV/0!</v>
      </c>
      <c r="AS29" s="26" t="e">
        <f t="shared" si="17"/>
        <v>#DIV/0!</v>
      </c>
      <c r="AT29" s="26" t="e">
        <f>AO29*Z29</f>
        <v>#DIV/0!</v>
      </c>
      <c r="AU29" s="26" t="e">
        <f t="shared" si="10"/>
        <v>#DIV/0!</v>
      </c>
      <c r="AV29" s="72" t="e">
        <f t="shared" si="11"/>
        <v>#DIV/0!</v>
      </c>
      <c r="AW29" s="2">
        <v>0</v>
      </c>
      <c r="AX29" s="2">
        <v>0</v>
      </c>
      <c r="AZ29" s="2" t="e">
        <f t="shared" si="12"/>
        <v>#DIV/0!</v>
      </c>
      <c r="BA29" s="26" t="e">
        <f t="shared" si="18"/>
        <v>#DIV/0!</v>
      </c>
      <c r="BB29" s="72" t="e">
        <f t="shared" si="14"/>
        <v>#DIV/0!</v>
      </c>
    </row>
    <row r="30" spans="1:55" x14ac:dyDescent="0.2">
      <c r="A30" s="2" t="s">
        <v>99</v>
      </c>
      <c r="C30" s="2">
        <v>1</v>
      </c>
      <c r="E30" s="2" t="s">
        <v>502</v>
      </c>
      <c r="F30" s="2">
        <v>0</v>
      </c>
      <c r="G30" s="2">
        <v>1</v>
      </c>
      <c r="H30" s="2">
        <v>0</v>
      </c>
      <c r="I30" s="2">
        <v>0</v>
      </c>
      <c r="L30" s="25">
        <f t="shared" si="19"/>
        <v>4.2000000000000003E-2</v>
      </c>
      <c r="N30" s="26">
        <f t="shared" si="1"/>
        <v>0</v>
      </c>
      <c r="O30" s="26">
        <v>4.2000000000000003E-2</v>
      </c>
      <c r="Y30" s="31" t="e">
        <f t="shared" si="2"/>
        <v>#DIV/0!</v>
      </c>
      <c r="Z30" s="31" t="e">
        <f t="shared" si="3"/>
        <v>#DIV/0!</v>
      </c>
      <c r="AA30" s="31" t="e">
        <f t="shared" si="4"/>
        <v>#DIV/0!</v>
      </c>
      <c r="AD30" s="26" t="e">
        <f t="shared" si="5"/>
        <v>#DIV/0!</v>
      </c>
      <c r="AE30" s="26" t="e">
        <f t="shared" si="6"/>
        <v>#DIV/0!</v>
      </c>
      <c r="AL30" s="26">
        <f t="shared" si="7"/>
        <v>0</v>
      </c>
      <c r="AM30" s="26" t="e">
        <f t="shared" si="8"/>
        <v>#DIV/0!</v>
      </c>
      <c r="AR30" s="26" t="e">
        <f t="shared" si="9"/>
        <v>#DIV/0!</v>
      </c>
      <c r="AS30" s="26" t="e">
        <f t="shared" si="17"/>
        <v>#DIV/0!</v>
      </c>
      <c r="AU30" s="26" t="e">
        <f t="shared" si="10"/>
        <v>#DIV/0!</v>
      </c>
      <c r="AV30" s="72" t="e">
        <f t="shared" si="11"/>
        <v>#DIV/0!</v>
      </c>
      <c r="AW30" s="2">
        <v>0</v>
      </c>
      <c r="AX30" s="2">
        <v>0</v>
      </c>
      <c r="AZ30" s="2" t="e">
        <f t="shared" si="12"/>
        <v>#DIV/0!</v>
      </c>
      <c r="BA30" s="26" t="e">
        <f t="shared" si="18"/>
        <v>#DIV/0!</v>
      </c>
      <c r="BB30" s="72" t="e">
        <f t="shared" si="14"/>
        <v>#DIV/0!</v>
      </c>
    </row>
    <row r="31" spans="1:55" x14ac:dyDescent="0.2">
      <c r="A31" s="2" t="s">
        <v>277</v>
      </c>
      <c r="C31" s="2">
        <v>1</v>
      </c>
      <c r="E31" s="2" t="s">
        <v>502</v>
      </c>
      <c r="F31" s="2">
        <v>0</v>
      </c>
      <c r="G31" s="2">
        <v>0</v>
      </c>
      <c r="H31" s="2">
        <v>0</v>
      </c>
      <c r="I31" s="2">
        <v>0</v>
      </c>
      <c r="L31" s="25">
        <f t="shared" si="19"/>
        <v>0.27600000000000002</v>
      </c>
      <c r="N31" s="26">
        <f t="shared" si="1"/>
        <v>0</v>
      </c>
      <c r="O31" s="26">
        <v>0.27600000000000002</v>
      </c>
      <c r="Y31" s="31" t="e">
        <f t="shared" si="2"/>
        <v>#DIV/0!</v>
      </c>
      <c r="Z31" s="31" t="e">
        <f t="shared" si="3"/>
        <v>#DIV/0!</v>
      </c>
      <c r="AA31" s="31" t="e">
        <f t="shared" si="4"/>
        <v>#DIV/0!</v>
      </c>
      <c r="AD31" s="26" t="e">
        <f t="shared" si="5"/>
        <v>#DIV/0!</v>
      </c>
      <c r="AE31" s="26" t="e">
        <f t="shared" si="6"/>
        <v>#DIV/0!</v>
      </c>
      <c r="AL31" s="26">
        <f t="shared" si="7"/>
        <v>0</v>
      </c>
      <c r="AM31" s="26" t="e">
        <f t="shared" si="8"/>
        <v>#DIV/0!</v>
      </c>
      <c r="AR31" s="26" t="e">
        <f t="shared" si="9"/>
        <v>#DIV/0!</v>
      </c>
      <c r="AS31" s="26" t="e">
        <f t="shared" si="17"/>
        <v>#DIV/0!</v>
      </c>
      <c r="AT31" s="26" t="e">
        <f>AO31*Z31</f>
        <v>#DIV/0!</v>
      </c>
      <c r="AU31" s="26" t="e">
        <f t="shared" si="10"/>
        <v>#DIV/0!</v>
      </c>
      <c r="AV31" s="72" t="e">
        <f t="shared" si="11"/>
        <v>#DIV/0!</v>
      </c>
      <c r="AW31" s="2">
        <v>0</v>
      </c>
      <c r="AX31" s="2">
        <v>0</v>
      </c>
      <c r="AZ31" s="2" t="e">
        <f t="shared" si="12"/>
        <v>#DIV/0!</v>
      </c>
      <c r="BA31" s="26" t="e">
        <f t="shared" si="18"/>
        <v>#DIV/0!</v>
      </c>
      <c r="BB31" s="72" t="e">
        <f t="shared" si="14"/>
        <v>#DIV/0!</v>
      </c>
    </row>
    <row r="32" spans="1:55" x14ac:dyDescent="0.2">
      <c r="A32" s="2" t="s">
        <v>278</v>
      </c>
      <c r="C32" s="2">
        <v>1</v>
      </c>
      <c r="E32" s="2" t="s">
        <v>502</v>
      </c>
      <c r="F32" s="2">
        <v>0</v>
      </c>
      <c r="G32" s="2">
        <v>0</v>
      </c>
      <c r="H32" s="2">
        <v>0</v>
      </c>
      <c r="I32" s="2">
        <v>0</v>
      </c>
      <c r="L32" s="25">
        <f t="shared" si="19"/>
        <v>0.2</v>
      </c>
      <c r="N32" s="26">
        <f t="shared" si="1"/>
        <v>0</v>
      </c>
      <c r="O32" s="26">
        <v>0.2</v>
      </c>
      <c r="Y32" s="31" t="e">
        <f t="shared" si="2"/>
        <v>#DIV/0!</v>
      </c>
      <c r="Z32" s="31" t="e">
        <f t="shared" si="3"/>
        <v>#DIV/0!</v>
      </c>
      <c r="AA32" s="31" t="e">
        <f t="shared" si="4"/>
        <v>#DIV/0!</v>
      </c>
      <c r="AD32" s="26" t="e">
        <f t="shared" si="5"/>
        <v>#DIV/0!</v>
      </c>
      <c r="AE32" s="26" t="e">
        <f t="shared" si="6"/>
        <v>#DIV/0!</v>
      </c>
      <c r="AL32" s="26">
        <f t="shared" si="7"/>
        <v>0</v>
      </c>
      <c r="AM32" s="26" t="e">
        <f t="shared" si="8"/>
        <v>#DIV/0!</v>
      </c>
      <c r="AR32" s="26" t="e">
        <f t="shared" si="9"/>
        <v>#DIV/0!</v>
      </c>
      <c r="AS32" s="26" t="e">
        <f t="shared" si="17"/>
        <v>#DIV/0!</v>
      </c>
      <c r="AT32" s="26" t="e">
        <f>AO32*Z32</f>
        <v>#DIV/0!</v>
      </c>
      <c r="AU32" s="26" t="e">
        <f t="shared" si="10"/>
        <v>#DIV/0!</v>
      </c>
      <c r="AV32" s="72" t="e">
        <f t="shared" si="11"/>
        <v>#DIV/0!</v>
      </c>
      <c r="AW32" s="2">
        <v>0</v>
      </c>
      <c r="AX32" s="2">
        <v>0</v>
      </c>
      <c r="AZ32" s="2" t="e">
        <f t="shared" si="12"/>
        <v>#DIV/0!</v>
      </c>
      <c r="BA32" s="26" t="e">
        <f t="shared" si="18"/>
        <v>#DIV/0!</v>
      </c>
      <c r="BB32" s="72" t="e">
        <f t="shared" si="14"/>
        <v>#DIV/0!</v>
      </c>
    </row>
    <row r="33" spans="1:55" x14ac:dyDescent="0.2">
      <c r="A33" s="2" t="s">
        <v>279</v>
      </c>
      <c r="C33" s="2">
        <v>1</v>
      </c>
      <c r="E33" s="2" t="s">
        <v>502</v>
      </c>
      <c r="F33" s="2">
        <v>0</v>
      </c>
      <c r="G33" s="2">
        <v>0</v>
      </c>
      <c r="H33" s="2">
        <v>0</v>
      </c>
      <c r="I33" s="2">
        <v>0</v>
      </c>
      <c r="L33" s="25">
        <f t="shared" si="19"/>
        <v>0.186</v>
      </c>
      <c r="N33" s="26">
        <f t="shared" si="1"/>
        <v>0</v>
      </c>
      <c r="O33" s="26">
        <v>0.186</v>
      </c>
      <c r="Y33" s="31" t="e">
        <f t="shared" si="2"/>
        <v>#DIV/0!</v>
      </c>
      <c r="Z33" s="31" t="e">
        <f t="shared" si="3"/>
        <v>#DIV/0!</v>
      </c>
      <c r="AA33" s="31" t="e">
        <f t="shared" si="4"/>
        <v>#DIV/0!</v>
      </c>
      <c r="AD33" s="26" t="e">
        <f t="shared" si="5"/>
        <v>#DIV/0!</v>
      </c>
      <c r="AE33" s="26" t="e">
        <f t="shared" si="6"/>
        <v>#DIV/0!</v>
      </c>
      <c r="AL33" s="26">
        <f t="shared" si="7"/>
        <v>0</v>
      </c>
      <c r="AM33" s="26" t="e">
        <f t="shared" si="8"/>
        <v>#DIV/0!</v>
      </c>
      <c r="AR33" s="26" t="e">
        <f t="shared" si="9"/>
        <v>#DIV/0!</v>
      </c>
      <c r="AS33" s="26" t="e">
        <f t="shared" si="17"/>
        <v>#DIV/0!</v>
      </c>
      <c r="AT33" s="26" t="e">
        <f>AO33*Z33</f>
        <v>#DIV/0!</v>
      </c>
      <c r="AU33" s="26" t="e">
        <f t="shared" si="10"/>
        <v>#DIV/0!</v>
      </c>
      <c r="AV33" s="72" t="e">
        <f t="shared" si="11"/>
        <v>#DIV/0!</v>
      </c>
      <c r="AW33" s="2">
        <v>0</v>
      </c>
      <c r="AX33" s="2">
        <v>0</v>
      </c>
      <c r="AZ33" s="2" t="e">
        <f t="shared" si="12"/>
        <v>#DIV/0!</v>
      </c>
      <c r="BA33" s="26" t="e">
        <f t="shared" si="18"/>
        <v>#DIV/0!</v>
      </c>
      <c r="BB33" s="72" t="e">
        <f t="shared" si="14"/>
        <v>#DIV/0!</v>
      </c>
    </row>
    <row r="34" spans="1:55" x14ac:dyDescent="0.2">
      <c r="A34" s="2" t="s">
        <v>280</v>
      </c>
      <c r="C34" s="2">
        <v>1</v>
      </c>
      <c r="E34" s="2" t="s">
        <v>502</v>
      </c>
      <c r="F34" s="2">
        <v>0</v>
      </c>
      <c r="G34" s="2">
        <v>0</v>
      </c>
      <c r="H34" s="2">
        <v>0</v>
      </c>
      <c r="I34" s="2">
        <v>0</v>
      </c>
      <c r="L34" s="25">
        <f t="shared" si="19"/>
        <v>0.50900000000000001</v>
      </c>
      <c r="N34" s="26">
        <f t="shared" ref="N34:N68" si="20">SUM(S34:W34)</f>
        <v>0</v>
      </c>
      <c r="O34" s="26">
        <v>0.50900000000000001</v>
      </c>
      <c r="Y34" s="31" t="e">
        <f t="shared" ref="Y34:Y65" si="21">IF(K34&gt;0,(K34-X34)/(J34-X34),(L34-X34)/(J34-X34))</f>
        <v>#DIV/0!</v>
      </c>
      <c r="Z34" s="31" t="e">
        <f t="shared" ref="Z34:Z68" si="22">(L34-X34)/(J34-X34)</f>
        <v>#DIV/0!</v>
      </c>
      <c r="AA34" s="31" t="e">
        <f t="shared" ref="AA34:AA65" si="23">Z34/Y34</f>
        <v>#DIV/0!</v>
      </c>
      <c r="AD34" s="26" t="e">
        <f t="shared" ref="AD34:AD65" si="24">Y34*AC34</f>
        <v>#DIV/0!</v>
      </c>
      <c r="AE34" s="26" t="e">
        <f t="shared" ref="AE34:AE68" si="25">Z34*AC34</f>
        <v>#DIV/0!</v>
      </c>
      <c r="AL34" s="26">
        <f t="shared" ref="AL34:AL68" si="26">SUM(AG34:AH34)</f>
        <v>0</v>
      </c>
      <c r="AM34" s="26" t="e">
        <f t="shared" ref="AM34:AM65" si="27">AL34*AE34/AC34</f>
        <v>#DIV/0!</v>
      </c>
      <c r="AR34" s="26" t="e">
        <f t="shared" ref="AR34:AR65" si="28">IF(AS34&gt;0,0,MAX(0,(AL34-0.8*AO34)*Z34))</f>
        <v>#DIV/0!</v>
      </c>
      <c r="AS34" s="26" t="e">
        <f t="shared" si="17"/>
        <v>#DIV/0!</v>
      </c>
      <c r="AT34" s="26" t="e">
        <f>AO34*Z34</f>
        <v>#DIV/0!</v>
      </c>
      <c r="AU34" s="26" t="e">
        <f t="shared" ref="AU34:AU65" si="29">SUM(AR34:AT34)</f>
        <v>#DIV/0!</v>
      </c>
      <c r="AV34" s="72" t="e">
        <f t="shared" ref="AV34:AV65" si="30">AU34/L34</f>
        <v>#DIV/0!</v>
      </c>
      <c r="AW34" s="2">
        <v>0</v>
      </c>
      <c r="AX34" s="2">
        <v>0</v>
      </c>
      <c r="AZ34" s="2" t="e">
        <f t="shared" ref="AZ34:AZ68" si="31">MAX(0,(AL34-0.8*AO34)*Z34)</f>
        <v>#DIV/0!</v>
      </c>
      <c r="BA34" s="26" t="e">
        <f t="shared" si="18"/>
        <v>#DIV/0!</v>
      </c>
      <c r="BB34" s="72" t="e">
        <f t="shared" ref="BB34:BB65" si="32">BA34/L34</f>
        <v>#DIV/0!</v>
      </c>
    </row>
    <row r="35" spans="1:55" x14ac:dyDescent="0.2">
      <c r="A35" s="2" t="s">
        <v>103</v>
      </c>
      <c r="C35" s="2">
        <v>1</v>
      </c>
      <c r="E35" s="2" t="s">
        <v>502</v>
      </c>
      <c r="F35" s="2">
        <v>0</v>
      </c>
      <c r="G35" s="2">
        <v>1</v>
      </c>
      <c r="H35" s="2">
        <v>0</v>
      </c>
      <c r="I35" s="2">
        <v>0</v>
      </c>
      <c r="J35" s="25">
        <v>1.297795</v>
      </c>
      <c r="K35" s="25">
        <v>1.297795</v>
      </c>
      <c r="L35" s="25">
        <f>SUM(N35:R35)</f>
        <v>0.66520499999999994</v>
      </c>
      <c r="N35" s="26">
        <f t="shared" si="20"/>
        <v>0</v>
      </c>
      <c r="O35" s="26">
        <v>0.58699999999999997</v>
      </c>
      <c r="Q35" s="26">
        <v>7.8204999999999997E-2</v>
      </c>
      <c r="Y35" s="31">
        <f t="shared" si="21"/>
        <v>1</v>
      </c>
      <c r="Z35" s="31">
        <f t="shared" si="22"/>
        <v>0.51256554386478603</v>
      </c>
      <c r="AA35" s="31">
        <f t="shared" si="23"/>
        <v>0.51256554386478603</v>
      </c>
      <c r="AD35" s="26">
        <f t="shared" si="24"/>
        <v>0</v>
      </c>
      <c r="AE35" s="26">
        <f t="shared" si="25"/>
        <v>0</v>
      </c>
      <c r="AK35" s="35">
        <v>700</v>
      </c>
      <c r="AL35" s="26">
        <f t="shared" si="26"/>
        <v>0</v>
      </c>
      <c r="AM35" s="26" t="e">
        <f t="shared" si="27"/>
        <v>#DIV/0!</v>
      </c>
      <c r="AO35" s="26">
        <v>0.175452</v>
      </c>
      <c r="AP35" s="26">
        <v>0.33656000000000003</v>
      </c>
      <c r="AR35" s="26">
        <f t="shared" si="28"/>
        <v>0</v>
      </c>
      <c r="AS35" s="26">
        <f>L35</f>
        <v>0.66520499999999994</v>
      </c>
      <c r="AU35" s="26">
        <f t="shared" si="29"/>
        <v>0.66520499999999994</v>
      </c>
      <c r="AV35" s="72">
        <f t="shared" si="30"/>
        <v>1</v>
      </c>
      <c r="AW35" s="2">
        <v>0</v>
      </c>
      <c r="AX35" s="2">
        <v>0</v>
      </c>
      <c r="AZ35" s="2">
        <f t="shared" si="31"/>
        <v>0</v>
      </c>
      <c r="BA35" s="26">
        <f t="shared" si="18"/>
        <v>0</v>
      </c>
      <c r="BB35" s="72">
        <f t="shared" si="32"/>
        <v>0</v>
      </c>
      <c r="BC35" s="2" t="s">
        <v>1040</v>
      </c>
    </row>
    <row r="36" spans="1:55" x14ac:dyDescent="0.2">
      <c r="A36" s="2" t="s">
        <v>104</v>
      </c>
      <c r="C36" s="2">
        <v>1</v>
      </c>
      <c r="E36" s="2" t="s">
        <v>502</v>
      </c>
      <c r="F36" s="2">
        <v>0</v>
      </c>
      <c r="G36" s="2">
        <v>1</v>
      </c>
      <c r="H36" s="2">
        <v>0</v>
      </c>
      <c r="I36" s="2">
        <v>0</v>
      </c>
      <c r="L36" s="25">
        <f t="shared" ref="L36:L41" si="33">IF(SUM(N36:R36),SUM(N36:R36),M36)</f>
        <v>0.90100000000000002</v>
      </c>
      <c r="N36" s="26">
        <f t="shared" si="20"/>
        <v>0</v>
      </c>
      <c r="O36" s="26">
        <v>0.90100000000000002</v>
      </c>
      <c r="Y36" s="31" t="e">
        <f t="shared" si="21"/>
        <v>#DIV/0!</v>
      </c>
      <c r="Z36" s="31" t="e">
        <f t="shared" si="22"/>
        <v>#DIV/0!</v>
      </c>
      <c r="AA36" s="31" t="e">
        <f t="shared" si="23"/>
        <v>#DIV/0!</v>
      </c>
      <c r="AD36" s="26" t="e">
        <f t="shared" si="24"/>
        <v>#DIV/0!</v>
      </c>
      <c r="AE36" s="26" t="e">
        <f t="shared" si="25"/>
        <v>#DIV/0!</v>
      </c>
      <c r="AL36" s="26">
        <f t="shared" si="26"/>
        <v>0</v>
      </c>
      <c r="AM36" s="26" t="e">
        <f t="shared" si="27"/>
        <v>#DIV/0!</v>
      </c>
      <c r="AR36" s="26" t="e">
        <f t="shared" si="28"/>
        <v>#DIV/0!</v>
      </c>
      <c r="AS36" s="26" t="e">
        <f t="shared" ref="AS36:AS68" si="34">AN36*Z36</f>
        <v>#DIV/0!</v>
      </c>
      <c r="AU36" s="26" t="e">
        <f t="shared" si="29"/>
        <v>#DIV/0!</v>
      </c>
      <c r="AV36" s="72" t="e">
        <f t="shared" si="30"/>
        <v>#DIV/0!</v>
      </c>
      <c r="AW36" s="2">
        <v>0</v>
      </c>
      <c r="AX36" s="2">
        <v>0</v>
      </c>
      <c r="AZ36" s="2" t="e">
        <f t="shared" si="31"/>
        <v>#DIV/0!</v>
      </c>
      <c r="BA36" s="26" t="e">
        <f t="shared" si="18"/>
        <v>#DIV/0!</v>
      </c>
      <c r="BB36" s="72" t="e">
        <f t="shared" si="32"/>
        <v>#DIV/0!</v>
      </c>
    </row>
    <row r="37" spans="1:55" x14ac:dyDescent="0.2">
      <c r="A37" s="2" t="s">
        <v>281</v>
      </c>
      <c r="C37" s="2">
        <v>1</v>
      </c>
      <c r="E37" s="2" t="s">
        <v>502</v>
      </c>
      <c r="F37" s="2">
        <v>0</v>
      </c>
      <c r="G37" s="2">
        <v>0</v>
      </c>
      <c r="H37" s="2">
        <v>0</v>
      </c>
      <c r="I37" s="2">
        <v>0</v>
      </c>
      <c r="L37" s="25">
        <f t="shared" si="33"/>
        <v>0.18</v>
      </c>
      <c r="N37" s="26">
        <f t="shared" si="20"/>
        <v>0</v>
      </c>
      <c r="O37" s="26">
        <v>0.18</v>
      </c>
      <c r="Y37" s="31" t="e">
        <f t="shared" si="21"/>
        <v>#DIV/0!</v>
      </c>
      <c r="Z37" s="31" t="e">
        <f t="shared" si="22"/>
        <v>#DIV/0!</v>
      </c>
      <c r="AA37" s="31" t="e">
        <f t="shared" si="23"/>
        <v>#DIV/0!</v>
      </c>
      <c r="AD37" s="26" t="e">
        <f t="shared" si="24"/>
        <v>#DIV/0!</v>
      </c>
      <c r="AE37" s="26" t="e">
        <f t="shared" si="25"/>
        <v>#DIV/0!</v>
      </c>
      <c r="AL37" s="26">
        <f t="shared" si="26"/>
        <v>0</v>
      </c>
      <c r="AM37" s="26" t="e">
        <f t="shared" si="27"/>
        <v>#DIV/0!</v>
      </c>
      <c r="AR37" s="26" t="e">
        <f t="shared" si="28"/>
        <v>#DIV/0!</v>
      </c>
      <c r="AS37" s="26" t="e">
        <f t="shared" si="34"/>
        <v>#DIV/0!</v>
      </c>
      <c r="AT37" s="26" t="e">
        <f>AO37*Z37</f>
        <v>#DIV/0!</v>
      </c>
      <c r="AU37" s="26" t="e">
        <f t="shared" si="29"/>
        <v>#DIV/0!</v>
      </c>
      <c r="AV37" s="72" t="e">
        <f t="shared" si="30"/>
        <v>#DIV/0!</v>
      </c>
      <c r="AW37" s="2">
        <v>0</v>
      </c>
      <c r="AX37" s="2">
        <v>0</v>
      </c>
      <c r="AZ37" s="2" t="e">
        <f t="shared" si="31"/>
        <v>#DIV/0!</v>
      </c>
      <c r="BA37" s="26" t="e">
        <f t="shared" si="18"/>
        <v>#DIV/0!</v>
      </c>
      <c r="BB37" s="72" t="e">
        <f t="shared" si="32"/>
        <v>#DIV/0!</v>
      </c>
    </row>
    <row r="38" spans="1:55" x14ac:dyDescent="0.2">
      <c r="A38" s="2" t="s">
        <v>109</v>
      </c>
      <c r="C38" s="2">
        <v>1</v>
      </c>
      <c r="E38" s="2" t="s">
        <v>502</v>
      </c>
      <c r="F38" s="2">
        <v>0</v>
      </c>
      <c r="G38" s="2">
        <v>1</v>
      </c>
      <c r="H38" s="2">
        <v>0</v>
      </c>
      <c r="I38" s="2">
        <v>0</v>
      </c>
      <c r="L38" s="25">
        <f t="shared" si="33"/>
        <v>0.375</v>
      </c>
      <c r="N38" s="26">
        <f t="shared" si="20"/>
        <v>0</v>
      </c>
      <c r="O38" s="26">
        <v>0.375</v>
      </c>
      <c r="Y38" s="31" t="e">
        <f t="shared" si="21"/>
        <v>#DIV/0!</v>
      </c>
      <c r="Z38" s="31" t="e">
        <f t="shared" si="22"/>
        <v>#DIV/0!</v>
      </c>
      <c r="AA38" s="31" t="e">
        <f t="shared" si="23"/>
        <v>#DIV/0!</v>
      </c>
      <c r="AD38" s="26" t="e">
        <f t="shared" si="24"/>
        <v>#DIV/0!</v>
      </c>
      <c r="AE38" s="26" t="e">
        <f t="shared" si="25"/>
        <v>#DIV/0!</v>
      </c>
      <c r="AL38" s="26">
        <f t="shared" si="26"/>
        <v>0</v>
      </c>
      <c r="AM38" s="26" t="e">
        <f t="shared" si="27"/>
        <v>#DIV/0!</v>
      </c>
      <c r="AR38" s="26" t="e">
        <f t="shared" si="28"/>
        <v>#DIV/0!</v>
      </c>
      <c r="AS38" s="26" t="e">
        <f t="shared" si="34"/>
        <v>#DIV/0!</v>
      </c>
      <c r="AU38" s="26" t="e">
        <f t="shared" si="29"/>
        <v>#DIV/0!</v>
      </c>
      <c r="AV38" s="72" t="e">
        <f t="shared" si="30"/>
        <v>#DIV/0!</v>
      </c>
      <c r="AW38" s="2">
        <v>0</v>
      </c>
      <c r="AX38" s="2">
        <v>0</v>
      </c>
      <c r="AZ38" s="2" t="e">
        <f t="shared" si="31"/>
        <v>#DIV/0!</v>
      </c>
      <c r="BA38" s="26" t="e">
        <f t="shared" si="18"/>
        <v>#DIV/0!</v>
      </c>
      <c r="BB38" s="72" t="e">
        <f t="shared" si="32"/>
        <v>#DIV/0!</v>
      </c>
    </row>
    <row r="39" spans="1:55" x14ac:dyDescent="0.2">
      <c r="A39" s="2" t="s">
        <v>153</v>
      </c>
      <c r="C39" s="2">
        <v>1</v>
      </c>
      <c r="E39" s="2" t="s">
        <v>502</v>
      </c>
      <c r="F39" s="2">
        <v>0</v>
      </c>
      <c r="G39" s="2">
        <v>0</v>
      </c>
      <c r="H39" s="2">
        <v>0</v>
      </c>
      <c r="I39" s="2">
        <v>0</v>
      </c>
      <c r="L39" s="25">
        <f t="shared" si="33"/>
        <v>0.4</v>
      </c>
      <c r="M39" s="26">
        <v>0.4</v>
      </c>
      <c r="N39" s="26">
        <f t="shared" si="20"/>
        <v>0</v>
      </c>
      <c r="Y39" s="31" t="e">
        <f t="shared" si="21"/>
        <v>#DIV/0!</v>
      </c>
      <c r="Z39" s="31" t="e">
        <f t="shared" si="22"/>
        <v>#DIV/0!</v>
      </c>
      <c r="AA39" s="31" t="e">
        <f t="shared" si="23"/>
        <v>#DIV/0!</v>
      </c>
      <c r="AD39" s="26" t="e">
        <f t="shared" si="24"/>
        <v>#DIV/0!</v>
      </c>
      <c r="AE39" s="26" t="e">
        <f t="shared" si="25"/>
        <v>#DIV/0!</v>
      </c>
      <c r="AL39" s="26">
        <f t="shared" si="26"/>
        <v>0</v>
      </c>
      <c r="AM39" s="26" t="e">
        <f t="shared" si="27"/>
        <v>#DIV/0!</v>
      </c>
      <c r="AR39" s="26" t="e">
        <f t="shared" si="28"/>
        <v>#DIV/0!</v>
      </c>
      <c r="AS39" s="26" t="e">
        <f t="shared" si="34"/>
        <v>#DIV/0!</v>
      </c>
      <c r="AU39" s="26" t="e">
        <f t="shared" si="29"/>
        <v>#DIV/0!</v>
      </c>
      <c r="AV39" s="72" t="e">
        <f t="shared" si="30"/>
        <v>#DIV/0!</v>
      </c>
      <c r="AW39" s="2">
        <v>0</v>
      </c>
      <c r="AX39" s="2">
        <v>0</v>
      </c>
      <c r="AZ39" s="2" t="e">
        <f t="shared" si="31"/>
        <v>#DIV/0!</v>
      </c>
      <c r="BA39" s="26" t="e">
        <f t="shared" si="18"/>
        <v>#DIV/0!</v>
      </c>
      <c r="BB39" s="72" t="e">
        <f t="shared" si="32"/>
        <v>#DIV/0!</v>
      </c>
    </row>
    <row r="40" spans="1:55" x14ac:dyDescent="0.2">
      <c r="A40" s="2" t="s">
        <v>283</v>
      </c>
      <c r="C40" s="2">
        <v>1</v>
      </c>
      <c r="E40" s="2" t="s">
        <v>502</v>
      </c>
      <c r="F40" s="2">
        <v>0</v>
      </c>
      <c r="G40" s="2">
        <v>0</v>
      </c>
      <c r="H40" s="2">
        <v>0</v>
      </c>
      <c r="I40" s="2">
        <v>0</v>
      </c>
      <c r="L40" s="25">
        <f t="shared" si="33"/>
        <v>0.125</v>
      </c>
      <c r="N40" s="26">
        <f t="shared" si="20"/>
        <v>0</v>
      </c>
      <c r="O40" s="26">
        <v>0.125</v>
      </c>
      <c r="Y40" s="31" t="e">
        <f t="shared" si="21"/>
        <v>#DIV/0!</v>
      </c>
      <c r="Z40" s="31" t="e">
        <f t="shared" si="22"/>
        <v>#DIV/0!</v>
      </c>
      <c r="AA40" s="31" t="e">
        <f t="shared" si="23"/>
        <v>#DIV/0!</v>
      </c>
      <c r="AD40" s="26" t="e">
        <f t="shared" si="24"/>
        <v>#DIV/0!</v>
      </c>
      <c r="AE40" s="26" t="e">
        <f t="shared" si="25"/>
        <v>#DIV/0!</v>
      </c>
      <c r="AL40" s="26">
        <f t="shared" si="26"/>
        <v>0</v>
      </c>
      <c r="AM40" s="26" t="e">
        <f t="shared" si="27"/>
        <v>#DIV/0!</v>
      </c>
      <c r="AR40" s="26" t="e">
        <f t="shared" si="28"/>
        <v>#DIV/0!</v>
      </c>
      <c r="AS40" s="26" t="e">
        <f t="shared" si="34"/>
        <v>#DIV/0!</v>
      </c>
      <c r="AT40" s="26" t="e">
        <f t="shared" ref="AT40:AT45" si="35">AO40*Z40</f>
        <v>#DIV/0!</v>
      </c>
      <c r="AU40" s="26" t="e">
        <f t="shared" si="29"/>
        <v>#DIV/0!</v>
      </c>
      <c r="AV40" s="72" t="e">
        <f t="shared" si="30"/>
        <v>#DIV/0!</v>
      </c>
      <c r="AW40" s="2">
        <v>0</v>
      </c>
      <c r="AX40" s="2">
        <v>0</v>
      </c>
      <c r="AZ40" s="2" t="e">
        <f t="shared" si="31"/>
        <v>#DIV/0!</v>
      </c>
      <c r="BA40" s="26" t="e">
        <f t="shared" si="18"/>
        <v>#DIV/0!</v>
      </c>
      <c r="BB40" s="72" t="e">
        <f t="shared" si="32"/>
        <v>#DIV/0!</v>
      </c>
    </row>
    <row r="41" spans="1:55" x14ac:dyDescent="0.2">
      <c r="A41" s="2" t="s">
        <v>284</v>
      </c>
      <c r="C41" s="2">
        <v>1</v>
      </c>
      <c r="E41" s="2" t="s">
        <v>502</v>
      </c>
      <c r="F41" s="2">
        <v>0</v>
      </c>
      <c r="G41" s="2">
        <v>0</v>
      </c>
      <c r="H41" s="2">
        <v>0</v>
      </c>
      <c r="I41" s="2">
        <v>0</v>
      </c>
      <c r="L41" s="25">
        <f t="shared" si="33"/>
        <v>0.247</v>
      </c>
      <c r="N41" s="26">
        <f t="shared" si="20"/>
        <v>0</v>
      </c>
      <c r="O41" s="26">
        <v>0.247</v>
      </c>
      <c r="Y41" s="31" t="e">
        <f t="shared" si="21"/>
        <v>#DIV/0!</v>
      </c>
      <c r="Z41" s="31" t="e">
        <f t="shared" si="22"/>
        <v>#DIV/0!</v>
      </c>
      <c r="AA41" s="31" t="e">
        <f t="shared" si="23"/>
        <v>#DIV/0!</v>
      </c>
      <c r="AD41" s="26" t="e">
        <f t="shared" si="24"/>
        <v>#DIV/0!</v>
      </c>
      <c r="AE41" s="26" t="e">
        <f t="shared" si="25"/>
        <v>#DIV/0!</v>
      </c>
      <c r="AL41" s="26">
        <f t="shared" si="26"/>
        <v>0</v>
      </c>
      <c r="AM41" s="26" t="e">
        <f t="shared" si="27"/>
        <v>#DIV/0!</v>
      </c>
      <c r="AR41" s="26" t="e">
        <f t="shared" si="28"/>
        <v>#DIV/0!</v>
      </c>
      <c r="AS41" s="26" t="e">
        <f t="shared" si="34"/>
        <v>#DIV/0!</v>
      </c>
      <c r="AT41" s="26" t="e">
        <f t="shared" si="35"/>
        <v>#DIV/0!</v>
      </c>
      <c r="AU41" s="26" t="e">
        <f t="shared" si="29"/>
        <v>#DIV/0!</v>
      </c>
      <c r="AV41" s="72" t="e">
        <f t="shared" si="30"/>
        <v>#DIV/0!</v>
      </c>
      <c r="AW41" s="2">
        <v>0</v>
      </c>
      <c r="AX41" s="2">
        <v>0</v>
      </c>
      <c r="AZ41" s="2" t="e">
        <f t="shared" si="31"/>
        <v>#DIV/0!</v>
      </c>
      <c r="BA41" s="26" t="e">
        <f t="shared" si="18"/>
        <v>#DIV/0!</v>
      </c>
      <c r="BB41" s="72" t="e">
        <f t="shared" si="32"/>
        <v>#DIV/0!</v>
      </c>
    </row>
    <row r="42" spans="1:55" x14ac:dyDescent="0.2">
      <c r="A42" s="2" t="s">
        <v>54</v>
      </c>
      <c r="C42" s="2">
        <v>1</v>
      </c>
      <c r="E42" s="2" t="s">
        <v>502</v>
      </c>
      <c r="F42" s="2">
        <v>0</v>
      </c>
      <c r="G42" s="2">
        <v>0</v>
      </c>
      <c r="H42" s="2">
        <v>1</v>
      </c>
      <c r="I42" s="2">
        <v>0</v>
      </c>
      <c r="J42" s="25">
        <v>43.107999999999997</v>
      </c>
      <c r="K42" s="25">
        <v>43.107999999999997</v>
      </c>
      <c r="L42" s="25">
        <f>SUM(N42:R42)</f>
        <v>0.13400000000000001</v>
      </c>
      <c r="N42" s="26">
        <f t="shared" si="20"/>
        <v>0</v>
      </c>
      <c r="P42" s="26">
        <v>0.13400000000000001</v>
      </c>
      <c r="Y42" s="31">
        <f t="shared" si="21"/>
        <v>1</v>
      </c>
      <c r="Z42" s="31">
        <f t="shared" si="22"/>
        <v>3.1084717453836877E-3</v>
      </c>
      <c r="AA42" s="31">
        <f t="shared" si="23"/>
        <v>3.1084717453836877E-3</v>
      </c>
      <c r="AB42" s="35">
        <v>13</v>
      </c>
      <c r="AC42" s="26">
        <v>13</v>
      </c>
      <c r="AD42" s="26">
        <f t="shared" si="24"/>
        <v>13</v>
      </c>
      <c r="AE42" s="26">
        <f t="shared" si="25"/>
        <v>4.0410132689987943E-2</v>
      </c>
      <c r="AF42" s="26">
        <v>0.35</v>
      </c>
      <c r="AG42" s="26">
        <v>4.992</v>
      </c>
      <c r="AH42" s="26">
        <v>2.1549999999999998</v>
      </c>
      <c r="AK42" s="35">
        <v>30000</v>
      </c>
      <c r="AL42" s="26">
        <f t="shared" si="26"/>
        <v>7.1470000000000002</v>
      </c>
      <c r="AM42" s="26">
        <f t="shared" si="27"/>
        <v>2.2216247564257219E-2</v>
      </c>
      <c r="AO42" s="26">
        <v>3.9620000000000002</v>
      </c>
      <c r="AR42" s="26">
        <f t="shared" si="28"/>
        <v>1.2363635520089079E-2</v>
      </c>
      <c r="AS42" s="26">
        <f t="shared" si="34"/>
        <v>0</v>
      </c>
      <c r="AT42" s="26">
        <f t="shared" si="35"/>
        <v>1.2315765055210171E-2</v>
      </c>
      <c r="AU42" s="26">
        <f t="shared" si="29"/>
        <v>2.467940057529925E-2</v>
      </c>
      <c r="AV42" s="72">
        <f t="shared" si="30"/>
        <v>0.18417463115894961</v>
      </c>
      <c r="AW42" s="2">
        <v>0</v>
      </c>
      <c r="AX42" s="2">
        <v>0</v>
      </c>
      <c r="AZ42" s="2">
        <f t="shared" si="31"/>
        <v>1.2363635520089079E-2</v>
      </c>
      <c r="BA42" s="26">
        <f t="shared" si="18"/>
        <v>2.467940057529925E-2</v>
      </c>
      <c r="BB42" s="72">
        <f t="shared" si="32"/>
        <v>0.18417463115894961</v>
      </c>
    </row>
    <row r="43" spans="1:55" x14ac:dyDescent="0.2">
      <c r="A43" s="2" t="s">
        <v>285</v>
      </c>
      <c r="C43" s="2">
        <v>1</v>
      </c>
      <c r="E43" s="2" t="s">
        <v>502</v>
      </c>
      <c r="F43" s="2">
        <v>0</v>
      </c>
      <c r="G43" s="2">
        <v>0</v>
      </c>
      <c r="H43" s="2">
        <v>0</v>
      </c>
      <c r="I43" s="2">
        <v>0</v>
      </c>
      <c r="L43" s="25">
        <f t="shared" ref="L43:L48" si="36">IF(SUM(N43:R43),SUM(N43:R43),M43)</f>
        <v>0.35199999999999998</v>
      </c>
      <c r="N43" s="26">
        <f t="shared" si="20"/>
        <v>0</v>
      </c>
      <c r="O43" s="26">
        <v>0.35199999999999998</v>
      </c>
      <c r="Y43" s="31" t="e">
        <f t="shared" si="21"/>
        <v>#DIV/0!</v>
      </c>
      <c r="Z43" s="31" t="e">
        <f t="shared" si="22"/>
        <v>#DIV/0!</v>
      </c>
      <c r="AA43" s="31" t="e">
        <f t="shared" si="23"/>
        <v>#DIV/0!</v>
      </c>
      <c r="AD43" s="26" t="e">
        <f t="shared" si="24"/>
        <v>#DIV/0!</v>
      </c>
      <c r="AE43" s="26" t="e">
        <f t="shared" si="25"/>
        <v>#DIV/0!</v>
      </c>
      <c r="AL43" s="26">
        <f t="shared" si="26"/>
        <v>0</v>
      </c>
      <c r="AM43" s="26" t="e">
        <f t="shared" si="27"/>
        <v>#DIV/0!</v>
      </c>
      <c r="AR43" s="26" t="e">
        <f t="shared" si="28"/>
        <v>#DIV/0!</v>
      </c>
      <c r="AS43" s="26" t="e">
        <f t="shared" si="34"/>
        <v>#DIV/0!</v>
      </c>
      <c r="AT43" s="26" t="e">
        <f t="shared" si="35"/>
        <v>#DIV/0!</v>
      </c>
      <c r="AU43" s="26" t="e">
        <f t="shared" si="29"/>
        <v>#DIV/0!</v>
      </c>
      <c r="AV43" s="72" t="e">
        <f t="shared" si="30"/>
        <v>#DIV/0!</v>
      </c>
      <c r="AW43" s="2">
        <v>0</v>
      </c>
      <c r="AX43" s="2">
        <v>0</v>
      </c>
      <c r="AZ43" s="2" t="e">
        <f t="shared" si="31"/>
        <v>#DIV/0!</v>
      </c>
      <c r="BA43" s="26" t="e">
        <f t="shared" si="18"/>
        <v>#DIV/0!</v>
      </c>
      <c r="BB43" s="72" t="e">
        <f t="shared" si="32"/>
        <v>#DIV/0!</v>
      </c>
    </row>
    <row r="44" spans="1:55" x14ac:dyDescent="0.2">
      <c r="A44" s="2" t="s">
        <v>286</v>
      </c>
      <c r="C44" s="2">
        <v>1</v>
      </c>
      <c r="E44" s="2" t="s">
        <v>502</v>
      </c>
      <c r="F44" s="2">
        <v>0</v>
      </c>
      <c r="G44" s="2">
        <v>0</v>
      </c>
      <c r="H44" s="2">
        <v>0</v>
      </c>
      <c r="I44" s="2">
        <v>0</v>
      </c>
      <c r="L44" s="25">
        <f t="shared" si="36"/>
        <v>0.18</v>
      </c>
      <c r="N44" s="26">
        <f t="shared" si="20"/>
        <v>0</v>
      </c>
      <c r="O44" s="26">
        <v>0.18</v>
      </c>
      <c r="Y44" s="31" t="e">
        <f t="shared" si="21"/>
        <v>#DIV/0!</v>
      </c>
      <c r="Z44" s="31" t="e">
        <f t="shared" si="22"/>
        <v>#DIV/0!</v>
      </c>
      <c r="AA44" s="31" t="e">
        <f t="shared" si="23"/>
        <v>#DIV/0!</v>
      </c>
      <c r="AD44" s="26" t="e">
        <f t="shared" si="24"/>
        <v>#DIV/0!</v>
      </c>
      <c r="AE44" s="26" t="e">
        <f t="shared" si="25"/>
        <v>#DIV/0!</v>
      </c>
      <c r="AL44" s="26">
        <f t="shared" si="26"/>
        <v>0</v>
      </c>
      <c r="AM44" s="26" t="e">
        <f t="shared" si="27"/>
        <v>#DIV/0!</v>
      </c>
      <c r="AR44" s="26" t="e">
        <f t="shared" si="28"/>
        <v>#DIV/0!</v>
      </c>
      <c r="AS44" s="26" t="e">
        <f t="shared" si="34"/>
        <v>#DIV/0!</v>
      </c>
      <c r="AT44" s="26" t="e">
        <f t="shared" si="35"/>
        <v>#DIV/0!</v>
      </c>
      <c r="AU44" s="26" t="e">
        <f t="shared" si="29"/>
        <v>#DIV/0!</v>
      </c>
      <c r="AV44" s="72" t="e">
        <f t="shared" si="30"/>
        <v>#DIV/0!</v>
      </c>
      <c r="AW44" s="2">
        <v>0</v>
      </c>
      <c r="AX44" s="2">
        <v>0</v>
      </c>
      <c r="AZ44" s="2" t="e">
        <f t="shared" si="31"/>
        <v>#DIV/0!</v>
      </c>
      <c r="BA44" s="26" t="e">
        <f t="shared" si="18"/>
        <v>#DIV/0!</v>
      </c>
      <c r="BB44" s="72" t="e">
        <f t="shared" si="32"/>
        <v>#DIV/0!</v>
      </c>
    </row>
    <row r="45" spans="1:55" x14ac:dyDescent="0.2">
      <c r="A45" s="2" t="s">
        <v>287</v>
      </c>
      <c r="C45" s="2">
        <v>1</v>
      </c>
      <c r="E45" s="2" t="s">
        <v>502</v>
      </c>
      <c r="F45" s="2">
        <v>0</v>
      </c>
      <c r="G45" s="2">
        <v>0</v>
      </c>
      <c r="H45" s="2">
        <v>0</v>
      </c>
      <c r="I45" s="2">
        <v>0</v>
      </c>
      <c r="L45" s="25">
        <f t="shared" si="36"/>
        <v>0.18</v>
      </c>
      <c r="N45" s="26">
        <f t="shared" si="20"/>
        <v>0</v>
      </c>
      <c r="O45" s="26">
        <v>0.18</v>
      </c>
      <c r="Y45" s="31" t="e">
        <f t="shared" si="21"/>
        <v>#DIV/0!</v>
      </c>
      <c r="Z45" s="31" t="e">
        <f t="shared" si="22"/>
        <v>#DIV/0!</v>
      </c>
      <c r="AA45" s="31" t="e">
        <f t="shared" si="23"/>
        <v>#DIV/0!</v>
      </c>
      <c r="AD45" s="26" t="e">
        <f t="shared" si="24"/>
        <v>#DIV/0!</v>
      </c>
      <c r="AE45" s="26" t="e">
        <f t="shared" si="25"/>
        <v>#DIV/0!</v>
      </c>
      <c r="AL45" s="26">
        <f t="shared" si="26"/>
        <v>0</v>
      </c>
      <c r="AM45" s="26" t="e">
        <f t="shared" si="27"/>
        <v>#DIV/0!</v>
      </c>
      <c r="AR45" s="26" t="e">
        <f t="shared" si="28"/>
        <v>#DIV/0!</v>
      </c>
      <c r="AS45" s="26" t="e">
        <f t="shared" si="34"/>
        <v>#DIV/0!</v>
      </c>
      <c r="AT45" s="26" t="e">
        <f t="shared" si="35"/>
        <v>#DIV/0!</v>
      </c>
      <c r="AU45" s="26" t="e">
        <f t="shared" si="29"/>
        <v>#DIV/0!</v>
      </c>
      <c r="AV45" s="72" t="e">
        <f t="shared" si="30"/>
        <v>#DIV/0!</v>
      </c>
      <c r="AW45" s="2">
        <v>0</v>
      </c>
      <c r="AX45" s="2">
        <v>0</v>
      </c>
      <c r="AZ45" s="2" t="e">
        <f t="shared" si="31"/>
        <v>#DIV/0!</v>
      </c>
      <c r="BA45" s="26" t="e">
        <f t="shared" si="18"/>
        <v>#DIV/0!</v>
      </c>
      <c r="BB45" s="72" t="e">
        <f t="shared" si="32"/>
        <v>#DIV/0!</v>
      </c>
    </row>
    <row r="46" spans="1:55" x14ac:dyDescent="0.2">
      <c r="A46" s="2" t="s">
        <v>119</v>
      </c>
      <c r="C46" s="2">
        <v>1</v>
      </c>
      <c r="E46" s="2" t="s">
        <v>502</v>
      </c>
      <c r="F46" s="2">
        <v>0</v>
      </c>
      <c r="G46" s="2">
        <v>1</v>
      </c>
      <c r="H46" s="2">
        <v>0</v>
      </c>
      <c r="I46" s="2">
        <v>0</v>
      </c>
      <c r="L46" s="25">
        <f t="shared" si="36"/>
        <v>0.46600000000000003</v>
      </c>
      <c r="N46" s="26">
        <f t="shared" si="20"/>
        <v>0</v>
      </c>
      <c r="O46" s="26">
        <v>0.46600000000000003</v>
      </c>
      <c r="Y46" s="31" t="e">
        <f t="shared" si="21"/>
        <v>#DIV/0!</v>
      </c>
      <c r="Z46" s="31" t="e">
        <f t="shared" si="22"/>
        <v>#DIV/0!</v>
      </c>
      <c r="AA46" s="31" t="e">
        <f t="shared" si="23"/>
        <v>#DIV/0!</v>
      </c>
      <c r="AD46" s="26" t="e">
        <f t="shared" si="24"/>
        <v>#DIV/0!</v>
      </c>
      <c r="AE46" s="26" t="e">
        <f t="shared" si="25"/>
        <v>#DIV/0!</v>
      </c>
      <c r="AL46" s="26">
        <f t="shared" si="26"/>
        <v>0</v>
      </c>
      <c r="AM46" s="26" t="e">
        <f t="shared" si="27"/>
        <v>#DIV/0!</v>
      </c>
      <c r="AR46" s="26" t="e">
        <f t="shared" si="28"/>
        <v>#DIV/0!</v>
      </c>
      <c r="AS46" s="26" t="e">
        <f t="shared" si="34"/>
        <v>#DIV/0!</v>
      </c>
      <c r="AU46" s="26" t="e">
        <f t="shared" si="29"/>
        <v>#DIV/0!</v>
      </c>
      <c r="AV46" s="72" t="e">
        <f t="shared" si="30"/>
        <v>#DIV/0!</v>
      </c>
      <c r="AW46" s="2">
        <v>0</v>
      </c>
      <c r="AX46" s="2">
        <v>0</v>
      </c>
      <c r="AZ46" s="2" t="e">
        <f t="shared" si="31"/>
        <v>#DIV/0!</v>
      </c>
      <c r="BA46" s="26" t="e">
        <f t="shared" si="18"/>
        <v>#DIV/0!</v>
      </c>
      <c r="BB46" s="72" t="e">
        <f t="shared" si="32"/>
        <v>#DIV/0!</v>
      </c>
    </row>
    <row r="47" spans="1:55" x14ac:dyDescent="0.2">
      <c r="A47" s="2" t="s">
        <v>301</v>
      </c>
      <c r="C47" s="2">
        <v>1</v>
      </c>
      <c r="E47" s="2" t="s">
        <v>502</v>
      </c>
      <c r="F47" s="2">
        <v>0</v>
      </c>
      <c r="G47" s="2">
        <v>1</v>
      </c>
      <c r="H47" s="2">
        <v>0</v>
      </c>
      <c r="I47" s="2">
        <v>0</v>
      </c>
      <c r="L47" s="25">
        <f t="shared" si="36"/>
        <v>0.45</v>
      </c>
      <c r="N47" s="26">
        <f t="shared" si="20"/>
        <v>0</v>
      </c>
      <c r="O47" s="26">
        <v>0.45</v>
      </c>
      <c r="Y47" s="31" t="e">
        <f t="shared" si="21"/>
        <v>#DIV/0!</v>
      </c>
      <c r="Z47" s="31" t="e">
        <f t="shared" si="22"/>
        <v>#DIV/0!</v>
      </c>
      <c r="AA47" s="31" t="e">
        <f t="shared" si="23"/>
        <v>#DIV/0!</v>
      </c>
      <c r="AD47" s="26" t="e">
        <f t="shared" si="24"/>
        <v>#DIV/0!</v>
      </c>
      <c r="AE47" s="26" t="e">
        <f t="shared" si="25"/>
        <v>#DIV/0!</v>
      </c>
      <c r="AL47" s="26">
        <f t="shared" si="26"/>
        <v>0</v>
      </c>
      <c r="AM47" s="26" t="e">
        <f t="shared" si="27"/>
        <v>#DIV/0!</v>
      </c>
      <c r="AR47" s="26" t="e">
        <f t="shared" si="28"/>
        <v>#DIV/0!</v>
      </c>
      <c r="AS47" s="26" t="e">
        <f t="shared" si="34"/>
        <v>#DIV/0!</v>
      </c>
      <c r="AU47" s="26" t="e">
        <f t="shared" si="29"/>
        <v>#DIV/0!</v>
      </c>
      <c r="AV47" s="72" t="e">
        <f t="shared" si="30"/>
        <v>#DIV/0!</v>
      </c>
      <c r="AW47" s="2">
        <v>0</v>
      </c>
      <c r="AX47" s="2">
        <v>0</v>
      </c>
      <c r="AZ47" s="2" t="e">
        <f t="shared" si="31"/>
        <v>#DIV/0!</v>
      </c>
      <c r="BA47" s="26" t="e">
        <f t="shared" si="18"/>
        <v>#DIV/0!</v>
      </c>
      <c r="BB47" s="72" t="e">
        <f t="shared" si="32"/>
        <v>#DIV/0!</v>
      </c>
    </row>
    <row r="48" spans="1:55" x14ac:dyDescent="0.2">
      <c r="A48" s="2" t="s">
        <v>288</v>
      </c>
      <c r="C48" s="2">
        <v>1</v>
      </c>
      <c r="E48" s="2" t="s">
        <v>502</v>
      </c>
      <c r="F48" s="2">
        <v>0</v>
      </c>
      <c r="G48" s="2">
        <v>0</v>
      </c>
      <c r="H48" s="2">
        <v>0</v>
      </c>
      <c r="I48" s="2">
        <v>0</v>
      </c>
      <c r="L48" s="25">
        <f t="shared" si="36"/>
        <v>0.41299999999999998</v>
      </c>
      <c r="N48" s="26">
        <f t="shared" si="20"/>
        <v>0</v>
      </c>
      <c r="O48" s="26">
        <v>0.41299999999999998</v>
      </c>
      <c r="Y48" s="31" t="e">
        <f t="shared" si="21"/>
        <v>#DIV/0!</v>
      </c>
      <c r="Z48" s="31" t="e">
        <f t="shared" si="22"/>
        <v>#DIV/0!</v>
      </c>
      <c r="AA48" s="31" t="e">
        <f t="shared" si="23"/>
        <v>#DIV/0!</v>
      </c>
      <c r="AD48" s="26" t="e">
        <f t="shared" si="24"/>
        <v>#DIV/0!</v>
      </c>
      <c r="AE48" s="26" t="e">
        <f t="shared" si="25"/>
        <v>#DIV/0!</v>
      </c>
      <c r="AL48" s="26">
        <f t="shared" si="26"/>
        <v>0</v>
      </c>
      <c r="AM48" s="26" t="e">
        <f t="shared" si="27"/>
        <v>#DIV/0!</v>
      </c>
      <c r="AR48" s="26" t="e">
        <f t="shared" si="28"/>
        <v>#DIV/0!</v>
      </c>
      <c r="AS48" s="26" t="e">
        <f t="shared" si="34"/>
        <v>#DIV/0!</v>
      </c>
      <c r="AT48" s="26" t="e">
        <f>AO48*Z48</f>
        <v>#DIV/0!</v>
      </c>
      <c r="AU48" s="26" t="e">
        <f t="shared" si="29"/>
        <v>#DIV/0!</v>
      </c>
      <c r="AV48" s="72" t="e">
        <f t="shared" si="30"/>
        <v>#DIV/0!</v>
      </c>
      <c r="AW48" s="2">
        <v>0</v>
      </c>
      <c r="AX48" s="2">
        <v>0</v>
      </c>
      <c r="AZ48" s="2" t="e">
        <f t="shared" si="31"/>
        <v>#DIV/0!</v>
      </c>
      <c r="BA48" s="26" t="e">
        <f t="shared" si="18"/>
        <v>#DIV/0!</v>
      </c>
      <c r="BB48" s="72" t="e">
        <f t="shared" si="32"/>
        <v>#DIV/0!</v>
      </c>
    </row>
    <row r="49" spans="1:54" x14ac:dyDescent="0.2">
      <c r="A49" s="2" t="s">
        <v>127</v>
      </c>
      <c r="C49" s="2">
        <v>1</v>
      </c>
      <c r="E49" s="2" t="s">
        <v>502</v>
      </c>
      <c r="F49" s="2">
        <v>0</v>
      </c>
      <c r="G49" s="2">
        <v>1</v>
      </c>
      <c r="H49" s="2">
        <v>0</v>
      </c>
      <c r="I49" s="2">
        <v>0</v>
      </c>
      <c r="J49" s="25">
        <v>0.41390300000000002</v>
      </c>
      <c r="K49" s="25">
        <v>0.41390300000000002</v>
      </c>
      <c r="L49" s="25">
        <f>SUM(N49:R49)</f>
        <v>0.28100000000000003</v>
      </c>
      <c r="N49" s="26">
        <f t="shared" si="20"/>
        <v>0</v>
      </c>
      <c r="O49" s="26">
        <v>0.28100000000000003</v>
      </c>
      <c r="Y49" s="31">
        <f t="shared" si="21"/>
        <v>1</v>
      </c>
      <c r="Z49" s="31">
        <f t="shared" si="22"/>
        <v>0.67890302800414593</v>
      </c>
      <c r="AA49" s="31">
        <f t="shared" si="23"/>
        <v>0.67890302800414593</v>
      </c>
      <c r="AB49" s="35">
        <v>0</v>
      </c>
      <c r="AC49" s="26">
        <v>0</v>
      </c>
      <c r="AD49" s="26">
        <f t="shared" si="24"/>
        <v>0</v>
      </c>
      <c r="AE49" s="26">
        <f t="shared" si="25"/>
        <v>0</v>
      </c>
      <c r="AG49" s="26">
        <v>0</v>
      </c>
      <c r="AH49" s="26">
        <v>0</v>
      </c>
      <c r="AK49" s="35">
        <v>108</v>
      </c>
      <c r="AL49" s="26">
        <f t="shared" si="26"/>
        <v>0</v>
      </c>
      <c r="AM49" s="26" t="e">
        <f t="shared" si="27"/>
        <v>#DIV/0!</v>
      </c>
      <c r="AO49" s="26">
        <v>0</v>
      </c>
      <c r="AP49" s="26">
        <v>0</v>
      </c>
      <c r="AR49" s="26">
        <f t="shared" si="28"/>
        <v>0</v>
      </c>
      <c r="AS49" s="26">
        <f t="shared" si="34"/>
        <v>0</v>
      </c>
      <c r="AT49" s="26">
        <v>0</v>
      </c>
      <c r="AU49" s="26">
        <f t="shared" si="29"/>
        <v>0</v>
      </c>
      <c r="AV49" s="72">
        <f t="shared" si="30"/>
        <v>0</v>
      </c>
      <c r="AW49" s="2">
        <v>0</v>
      </c>
      <c r="AX49" s="2">
        <v>0</v>
      </c>
      <c r="AZ49" s="2">
        <f t="shared" si="31"/>
        <v>0</v>
      </c>
      <c r="BA49" s="26">
        <f t="shared" si="18"/>
        <v>0</v>
      </c>
      <c r="BB49" s="72">
        <f t="shared" si="32"/>
        <v>0</v>
      </c>
    </row>
    <row r="50" spans="1:54" x14ac:dyDescent="0.2">
      <c r="A50" s="2" t="s">
        <v>129</v>
      </c>
      <c r="C50" s="2">
        <v>1</v>
      </c>
      <c r="E50" s="2" t="s">
        <v>502</v>
      </c>
      <c r="F50" s="2">
        <v>0</v>
      </c>
      <c r="G50" s="2">
        <v>1</v>
      </c>
      <c r="H50" s="2">
        <v>0</v>
      </c>
      <c r="I50" s="2">
        <v>0</v>
      </c>
      <c r="L50" s="25">
        <f t="shared" ref="L50:L68" si="37">IF(SUM(N50:R50),SUM(N50:R50),M50)</f>
        <v>0.19900000000000001</v>
      </c>
      <c r="N50" s="26">
        <f t="shared" si="20"/>
        <v>0</v>
      </c>
      <c r="O50" s="26">
        <v>0.19900000000000001</v>
      </c>
      <c r="Y50" s="31" t="e">
        <f t="shared" si="21"/>
        <v>#DIV/0!</v>
      </c>
      <c r="Z50" s="31" t="e">
        <f t="shared" si="22"/>
        <v>#DIV/0!</v>
      </c>
      <c r="AA50" s="31" t="e">
        <f t="shared" si="23"/>
        <v>#DIV/0!</v>
      </c>
      <c r="AD50" s="26" t="e">
        <f t="shared" si="24"/>
        <v>#DIV/0!</v>
      </c>
      <c r="AE50" s="26" t="e">
        <f t="shared" si="25"/>
        <v>#DIV/0!</v>
      </c>
      <c r="AL50" s="26">
        <f t="shared" si="26"/>
        <v>0</v>
      </c>
      <c r="AM50" s="26" t="e">
        <f t="shared" si="27"/>
        <v>#DIV/0!</v>
      </c>
      <c r="AR50" s="26" t="e">
        <f t="shared" si="28"/>
        <v>#DIV/0!</v>
      </c>
      <c r="AS50" s="26" t="e">
        <f t="shared" si="34"/>
        <v>#DIV/0!</v>
      </c>
      <c r="AU50" s="26" t="e">
        <f t="shared" si="29"/>
        <v>#DIV/0!</v>
      </c>
      <c r="AV50" s="72" t="e">
        <f t="shared" si="30"/>
        <v>#DIV/0!</v>
      </c>
      <c r="AW50" s="2">
        <v>0</v>
      </c>
      <c r="AX50" s="2">
        <v>0</v>
      </c>
      <c r="AZ50" s="2" t="e">
        <f t="shared" si="31"/>
        <v>#DIV/0!</v>
      </c>
      <c r="BA50" s="26" t="e">
        <f t="shared" si="18"/>
        <v>#DIV/0!</v>
      </c>
      <c r="BB50" s="72" t="e">
        <f t="shared" si="32"/>
        <v>#DIV/0!</v>
      </c>
    </row>
    <row r="51" spans="1:54" x14ac:dyDescent="0.2">
      <c r="A51" s="2" t="s">
        <v>289</v>
      </c>
      <c r="C51" s="2">
        <v>1</v>
      </c>
      <c r="E51" s="2" t="s">
        <v>502</v>
      </c>
      <c r="F51" s="2">
        <v>0</v>
      </c>
      <c r="G51" s="2">
        <v>0</v>
      </c>
      <c r="H51" s="2">
        <v>0</v>
      </c>
      <c r="I51" s="2">
        <v>0</v>
      </c>
      <c r="L51" s="25">
        <f t="shared" si="37"/>
        <v>0.495</v>
      </c>
      <c r="N51" s="26">
        <f t="shared" si="20"/>
        <v>0</v>
      </c>
      <c r="O51" s="26">
        <v>0.495</v>
      </c>
      <c r="Y51" s="31" t="e">
        <f t="shared" si="21"/>
        <v>#DIV/0!</v>
      </c>
      <c r="Z51" s="31" t="e">
        <f t="shared" si="22"/>
        <v>#DIV/0!</v>
      </c>
      <c r="AA51" s="31" t="e">
        <f t="shared" si="23"/>
        <v>#DIV/0!</v>
      </c>
      <c r="AD51" s="26" t="e">
        <f t="shared" si="24"/>
        <v>#DIV/0!</v>
      </c>
      <c r="AE51" s="26" t="e">
        <f t="shared" si="25"/>
        <v>#DIV/0!</v>
      </c>
      <c r="AL51" s="26">
        <f t="shared" si="26"/>
        <v>0</v>
      </c>
      <c r="AM51" s="26" t="e">
        <f t="shared" si="27"/>
        <v>#DIV/0!</v>
      </c>
      <c r="AR51" s="26" t="e">
        <f t="shared" si="28"/>
        <v>#DIV/0!</v>
      </c>
      <c r="AS51" s="26" t="e">
        <f t="shared" si="34"/>
        <v>#DIV/0!</v>
      </c>
      <c r="AT51" s="26" t="e">
        <f t="shared" ref="AT51:AT58" si="38">AO51*Z51</f>
        <v>#DIV/0!</v>
      </c>
      <c r="AU51" s="26" t="e">
        <f t="shared" si="29"/>
        <v>#DIV/0!</v>
      </c>
      <c r="AV51" s="72" t="e">
        <f t="shared" si="30"/>
        <v>#DIV/0!</v>
      </c>
      <c r="AW51" s="2">
        <v>0</v>
      </c>
      <c r="AX51" s="2">
        <v>0</v>
      </c>
      <c r="AZ51" s="2" t="e">
        <f t="shared" si="31"/>
        <v>#DIV/0!</v>
      </c>
      <c r="BA51" s="26" t="e">
        <f t="shared" si="18"/>
        <v>#DIV/0!</v>
      </c>
      <c r="BB51" s="72" t="e">
        <f t="shared" si="32"/>
        <v>#DIV/0!</v>
      </c>
    </row>
    <row r="52" spans="1:54" x14ac:dyDescent="0.2">
      <c r="A52" s="2" t="s">
        <v>290</v>
      </c>
      <c r="C52" s="2">
        <v>1</v>
      </c>
      <c r="E52" s="2" t="s">
        <v>502</v>
      </c>
      <c r="F52" s="2">
        <v>0</v>
      </c>
      <c r="G52" s="2">
        <v>0</v>
      </c>
      <c r="H52" s="2">
        <v>0</v>
      </c>
      <c r="I52" s="2">
        <v>0</v>
      </c>
      <c r="L52" s="25">
        <f t="shared" si="37"/>
        <v>0.42899999999999999</v>
      </c>
      <c r="N52" s="26">
        <f t="shared" si="20"/>
        <v>0</v>
      </c>
      <c r="O52" s="26">
        <v>0.42899999999999999</v>
      </c>
      <c r="Y52" s="31" t="e">
        <f t="shared" si="21"/>
        <v>#DIV/0!</v>
      </c>
      <c r="Z52" s="31" t="e">
        <f t="shared" si="22"/>
        <v>#DIV/0!</v>
      </c>
      <c r="AA52" s="31" t="e">
        <f t="shared" si="23"/>
        <v>#DIV/0!</v>
      </c>
      <c r="AD52" s="26" t="e">
        <f t="shared" si="24"/>
        <v>#DIV/0!</v>
      </c>
      <c r="AE52" s="26" t="e">
        <f t="shared" si="25"/>
        <v>#DIV/0!</v>
      </c>
      <c r="AL52" s="26">
        <f t="shared" si="26"/>
        <v>0</v>
      </c>
      <c r="AM52" s="26" t="e">
        <f t="shared" si="27"/>
        <v>#DIV/0!</v>
      </c>
      <c r="AR52" s="26" t="e">
        <f t="shared" si="28"/>
        <v>#DIV/0!</v>
      </c>
      <c r="AS52" s="26" t="e">
        <f t="shared" si="34"/>
        <v>#DIV/0!</v>
      </c>
      <c r="AT52" s="26" t="e">
        <f t="shared" si="38"/>
        <v>#DIV/0!</v>
      </c>
      <c r="AU52" s="26" t="e">
        <f t="shared" si="29"/>
        <v>#DIV/0!</v>
      </c>
      <c r="AV52" s="72" t="e">
        <f t="shared" si="30"/>
        <v>#DIV/0!</v>
      </c>
      <c r="AW52" s="2">
        <v>0</v>
      </c>
      <c r="AX52" s="2">
        <v>0</v>
      </c>
      <c r="AZ52" s="2" t="e">
        <f t="shared" si="31"/>
        <v>#DIV/0!</v>
      </c>
      <c r="BA52" s="26" t="e">
        <f t="shared" si="18"/>
        <v>#DIV/0!</v>
      </c>
      <c r="BB52" s="72" t="e">
        <f t="shared" si="32"/>
        <v>#DIV/0!</v>
      </c>
    </row>
    <row r="53" spans="1:54" x14ac:dyDescent="0.2">
      <c r="A53" s="2" t="s">
        <v>291</v>
      </c>
      <c r="C53" s="2">
        <v>1</v>
      </c>
      <c r="E53" s="2" t="s">
        <v>502</v>
      </c>
      <c r="F53" s="2">
        <v>0</v>
      </c>
      <c r="G53" s="2">
        <v>0</v>
      </c>
      <c r="H53" s="2">
        <v>0</v>
      </c>
      <c r="I53" s="2">
        <v>0</v>
      </c>
      <c r="L53" s="25">
        <f t="shared" si="37"/>
        <v>0.248</v>
      </c>
      <c r="N53" s="26">
        <f t="shared" si="20"/>
        <v>0</v>
      </c>
      <c r="O53" s="26">
        <v>0.248</v>
      </c>
      <c r="Y53" s="31" t="e">
        <f t="shared" si="21"/>
        <v>#DIV/0!</v>
      </c>
      <c r="Z53" s="31" t="e">
        <f t="shared" si="22"/>
        <v>#DIV/0!</v>
      </c>
      <c r="AA53" s="31" t="e">
        <f t="shared" si="23"/>
        <v>#DIV/0!</v>
      </c>
      <c r="AD53" s="26" t="e">
        <f t="shared" si="24"/>
        <v>#DIV/0!</v>
      </c>
      <c r="AE53" s="26" t="e">
        <f t="shared" si="25"/>
        <v>#DIV/0!</v>
      </c>
      <c r="AL53" s="26">
        <f t="shared" si="26"/>
        <v>0</v>
      </c>
      <c r="AM53" s="26" t="e">
        <f t="shared" si="27"/>
        <v>#DIV/0!</v>
      </c>
      <c r="AR53" s="26" t="e">
        <f t="shared" si="28"/>
        <v>#DIV/0!</v>
      </c>
      <c r="AS53" s="26" t="e">
        <f t="shared" si="34"/>
        <v>#DIV/0!</v>
      </c>
      <c r="AT53" s="26" t="e">
        <f t="shared" si="38"/>
        <v>#DIV/0!</v>
      </c>
      <c r="AU53" s="26" t="e">
        <f t="shared" si="29"/>
        <v>#DIV/0!</v>
      </c>
      <c r="AV53" s="72" t="e">
        <f t="shared" si="30"/>
        <v>#DIV/0!</v>
      </c>
      <c r="AW53" s="2">
        <v>0</v>
      </c>
      <c r="AX53" s="2">
        <v>0</v>
      </c>
      <c r="AZ53" s="2" t="e">
        <f t="shared" si="31"/>
        <v>#DIV/0!</v>
      </c>
      <c r="BA53" s="26" t="e">
        <f t="shared" si="18"/>
        <v>#DIV/0!</v>
      </c>
      <c r="BB53" s="72" t="e">
        <f t="shared" si="32"/>
        <v>#DIV/0!</v>
      </c>
    </row>
    <row r="54" spans="1:54" x14ac:dyDescent="0.2">
      <c r="A54" s="2" t="s">
        <v>292</v>
      </c>
      <c r="C54" s="2">
        <v>1</v>
      </c>
      <c r="E54" s="2" t="s">
        <v>502</v>
      </c>
      <c r="F54" s="2">
        <v>0</v>
      </c>
      <c r="G54" s="2">
        <v>0</v>
      </c>
      <c r="H54" s="2">
        <v>0</v>
      </c>
      <c r="I54" s="2">
        <v>0</v>
      </c>
      <c r="L54" s="25">
        <f t="shared" si="37"/>
        <v>8.7999999999999995E-2</v>
      </c>
      <c r="N54" s="26">
        <f t="shared" si="20"/>
        <v>0</v>
      </c>
      <c r="O54" s="26">
        <v>8.7999999999999995E-2</v>
      </c>
      <c r="Y54" s="31" t="e">
        <f t="shared" si="21"/>
        <v>#DIV/0!</v>
      </c>
      <c r="Z54" s="31" t="e">
        <f t="shared" si="22"/>
        <v>#DIV/0!</v>
      </c>
      <c r="AA54" s="31" t="e">
        <f t="shared" si="23"/>
        <v>#DIV/0!</v>
      </c>
      <c r="AD54" s="26" t="e">
        <f t="shared" si="24"/>
        <v>#DIV/0!</v>
      </c>
      <c r="AE54" s="26" t="e">
        <f t="shared" si="25"/>
        <v>#DIV/0!</v>
      </c>
      <c r="AL54" s="26">
        <f t="shared" si="26"/>
        <v>0</v>
      </c>
      <c r="AM54" s="26" t="e">
        <f t="shared" si="27"/>
        <v>#DIV/0!</v>
      </c>
      <c r="AR54" s="26" t="e">
        <f t="shared" si="28"/>
        <v>#DIV/0!</v>
      </c>
      <c r="AS54" s="26" t="e">
        <f t="shared" si="34"/>
        <v>#DIV/0!</v>
      </c>
      <c r="AT54" s="26" t="e">
        <f t="shared" si="38"/>
        <v>#DIV/0!</v>
      </c>
      <c r="AU54" s="26" t="e">
        <f t="shared" si="29"/>
        <v>#DIV/0!</v>
      </c>
      <c r="AV54" s="72" t="e">
        <f t="shared" si="30"/>
        <v>#DIV/0!</v>
      </c>
      <c r="AW54" s="2">
        <v>0</v>
      </c>
      <c r="AX54" s="2">
        <v>0</v>
      </c>
      <c r="AZ54" s="2" t="e">
        <f t="shared" si="31"/>
        <v>#DIV/0!</v>
      </c>
      <c r="BA54" s="26" t="e">
        <f t="shared" si="18"/>
        <v>#DIV/0!</v>
      </c>
      <c r="BB54" s="72" t="e">
        <f t="shared" si="32"/>
        <v>#DIV/0!</v>
      </c>
    </row>
    <row r="55" spans="1:54" x14ac:dyDescent="0.2">
      <c r="A55" s="2" t="s">
        <v>57</v>
      </c>
      <c r="C55" s="2">
        <v>1</v>
      </c>
      <c r="E55" s="2" t="s">
        <v>502</v>
      </c>
      <c r="F55" s="2">
        <v>0</v>
      </c>
      <c r="G55" s="2">
        <v>0</v>
      </c>
      <c r="H55" s="2">
        <v>1</v>
      </c>
      <c r="I55" s="2">
        <v>0</v>
      </c>
      <c r="L55" s="25">
        <f t="shared" si="37"/>
        <v>0.871</v>
      </c>
      <c r="N55" s="26">
        <f t="shared" si="20"/>
        <v>0</v>
      </c>
      <c r="R55" s="26">
        <v>0.871</v>
      </c>
      <c r="Y55" s="31" t="e">
        <f t="shared" si="21"/>
        <v>#DIV/0!</v>
      </c>
      <c r="Z55" s="31" t="e">
        <f t="shared" si="22"/>
        <v>#DIV/0!</v>
      </c>
      <c r="AA55" s="31" t="e">
        <f t="shared" si="23"/>
        <v>#DIV/0!</v>
      </c>
      <c r="AD55" s="26" t="e">
        <f t="shared" si="24"/>
        <v>#DIV/0!</v>
      </c>
      <c r="AE55" s="26" t="e">
        <f t="shared" si="25"/>
        <v>#DIV/0!</v>
      </c>
      <c r="AL55" s="26">
        <f t="shared" si="26"/>
        <v>0</v>
      </c>
      <c r="AM55" s="26" t="e">
        <f t="shared" si="27"/>
        <v>#DIV/0!</v>
      </c>
      <c r="AR55" s="26" t="e">
        <f t="shared" si="28"/>
        <v>#DIV/0!</v>
      </c>
      <c r="AS55" s="26" t="e">
        <f t="shared" si="34"/>
        <v>#DIV/0!</v>
      </c>
      <c r="AT55" s="26" t="e">
        <f t="shared" si="38"/>
        <v>#DIV/0!</v>
      </c>
      <c r="AU55" s="26" t="e">
        <f t="shared" si="29"/>
        <v>#DIV/0!</v>
      </c>
      <c r="AV55" s="72" t="e">
        <f t="shared" si="30"/>
        <v>#DIV/0!</v>
      </c>
      <c r="AW55" s="2">
        <v>0</v>
      </c>
      <c r="AX55" s="2">
        <v>0</v>
      </c>
      <c r="AZ55" s="2" t="e">
        <f t="shared" si="31"/>
        <v>#DIV/0!</v>
      </c>
      <c r="BA55" s="26" t="e">
        <f t="shared" si="18"/>
        <v>#DIV/0!</v>
      </c>
      <c r="BB55" s="72" t="e">
        <f t="shared" si="32"/>
        <v>#DIV/0!</v>
      </c>
    </row>
    <row r="56" spans="1:54" x14ac:dyDescent="0.2">
      <c r="A56" s="2" t="s">
        <v>293</v>
      </c>
      <c r="C56" s="2">
        <v>1</v>
      </c>
      <c r="E56" s="2" t="s">
        <v>502</v>
      </c>
      <c r="F56" s="2">
        <v>0</v>
      </c>
      <c r="G56" s="2">
        <v>0</v>
      </c>
      <c r="H56" s="2">
        <v>0</v>
      </c>
      <c r="I56" s="2">
        <v>0</v>
      </c>
      <c r="L56" s="25">
        <f t="shared" si="37"/>
        <v>0.21299999999999999</v>
      </c>
      <c r="N56" s="26">
        <f t="shared" si="20"/>
        <v>0</v>
      </c>
      <c r="O56" s="26">
        <v>0.21299999999999999</v>
      </c>
      <c r="Y56" s="31" t="e">
        <f t="shared" si="21"/>
        <v>#DIV/0!</v>
      </c>
      <c r="Z56" s="31" t="e">
        <f t="shared" si="22"/>
        <v>#DIV/0!</v>
      </c>
      <c r="AA56" s="31" t="e">
        <f t="shared" si="23"/>
        <v>#DIV/0!</v>
      </c>
      <c r="AD56" s="26" t="e">
        <f t="shared" si="24"/>
        <v>#DIV/0!</v>
      </c>
      <c r="AE56" s="26" t="e">
        <f t="shared" si="25"/>
        <v>#DIV/0!</v>
      </c>
      <c r="AL56" s="26">
        <f t="shared" si="26"/>
        <v>0</v>
      </c>
      <c r="AM56" s="26" t="e">
        <f t="shared" si="27"/>
        <v>#DIV/0!</v>
      </c>
      <c r="AR56" s="26" t="e">
        <f t="shared" si="28"/>
        <v>#DIV/0!</v>
      </c>
      <c r="AS56" s="26" t="e">
        <f t="shared" si="34"/>
        <v>#DIV/0!</v>
      </c>
      <c r="AT56" s="26" t="e">
        <f t="shared" si="38"/>
        <v>#DIV/0!</v>
      </c>
      <c r="AU56" s="26" t="e">
        <f t="shared" si="29"/>
        <v>#DIV/0!</v>
      </c>
      <c r="AV56" s="72" t="e">
        <f t="shared" si="30"/>
        <v>#DIV/0!</v>
      </c>
      <c r="AW56" s="2">
        <v>0</v>
      </c>
      <c r="AX56" s="2">
        <v>0</v>
      </c>
      <c r="AZ56" s="2" t="e">
        <f t="shared" si="31"/>
        <v>#DIV/0!</v>
      </c>
      <c r="BA56" s="26" t="e">
        <f t="shared" si="18"/>
        <v>#DIV/0!</v>
      </c>
      <c r="BB56" s="72" t="e">
        <f t="shared" si="32"/>
        <v>#DIV/0!</v>
      </c>
    </row>
    <row r="57" spans="1:54" x14ac:dyDescent="0.2">
      <c r="A57" s="2" t="s">
        <v>294</v>
      </c>
      <c r="C57" s="2">
        <v>1</v>
      </c>
      <c r="E57" s="2" t="s">
        <v>502</v>
      </c>
      <c r="F57" s="2">
        <v>0</v>
      </c>
      <c r="G57" s="2">
        <v>0</v>
      </c>
      <c r="H57" s="2">
        <v>0</v>
      </c>
      <c r="I57" s="2">
        <v>0</v>
      </c>
      <c r="L57" s="25">
        <f t="shared" si="37"/>
        <v>0.30499999999999999</v>
      </c>
      <c r="N57" s="26">
        <f t="shared" si="20"/>
        <v>0</v>
      </c>
      <c r="O57" s="26">
        <v>0.30499999999999999</v>
      </c>
      <c r="Y57" s="31" t="e">
        <f t="shared" si="21"/>
        <v>#DIV/0!</v>
      </c>
      <c r="Z57" s="31" t="e">
        <f t="shared" si="22"/>
        <v>#DIV/0!</v>
      </c>
      <c r="AA57" s="31" t="e">
        <f t="shared" si="23"/>
        <v>#DIV/0!</v>
      </c>
      <c r="AD57" s="26" t="e">
        <f t="shared" si="24"/>
        <v>#DIV/0!</v>
      </c>
      <c r="AE57" s="26" t="e">
        <f t="shared" si="25"/>
        <v>#DIV/0!</v>
      </c>
      <c r="AL57" s="26">
        <f t="shared" si="26"/>
        <v>0</v>
      </c>
      <c r="AM57" s="26" t="e">
        <f t="shared" si="27"/>
        <v>#DIV/0!</v>
      </c>
      <c r="AR57" s="26" t="e">
        <f t="shared" si="28"/>
        <v>#DIV/0!</v>
      </c>
      <c r="AS57" s="26" t="e">
        <f t="shared" si="34"/>
        <v>#DIV/0!</v>
      </c>
      <c r="AT57" s="26" t="e">
        <f t="shared" si="38"/>
        <v>#DIV/0!</v>
      </c>
      <c r="AU57" s="26" t="e">
        <f t="shared" si="29"/>
        <v>#DIV/0!</v>
      </c>
      <c r="AV57" s="72" t="e">
        <f t="shared" si="30"/>
        <v>#DIV/0!</v>
      </c>
      <c r="AW57" s="2">
        <v>0</v>
      </c>
      <c r="AX57" s="2">
        <v>0</v>
      </c>
      <c r="AZ57" s="2" t="e">
        <f t="shared" si="31"/>
        <v>#DIV/0!</v>
      </c>
      <c r="BA57" s="26" t="e">
        <f t="shared" si="18"/>
        <v>#DIV/0!</v>
      </c>
      <c r="BB57" s="72" t="e">
        <f t="shared" si="32"/>
        <v>#DIV/0!</v>
      </c>
    </row>
    <row r="58" spans="1:54" x14ac:dyDescent="0.2">
      <c r="A58" s="2" t="s">
        <v>295</v>
      </c>
      <c r="C58" s="2">
        <v>1</v>
      </c>
      <c r="E58" s="2" t="s">
        <v>502</v>
      </c>
      <c r="F58" s="2">
        <v>0</v>
      </c>
      <c r="G58" s="2">
        <v>0</v>
      </c>
      <c r="H58" s="2">
        <v>0</v>
      </c>
      <c r="I58" s="2">
        <v>0</v>
      </c>
      <c r="L58" s="25">
        <f t="shared" si="37"/>
        <v>4.2999999999999997E-2</v>
      </c>
      <c r="N58" s="26">
        <f t="shared" si="20"/>
        <v>0</v>
      </c>
      <c r="O58" s="26">
        <v>4.2999999999999997E-2</v>
      </c>
      <c r="Y58" s="31" t="e">
        <f t="shared" si="21"/>
        <v>#DIV/0!</v>
      </c>
      <c r="Z58" s="31" t="e">
        <f t="shared" si="22"/>
        <v>#DIV/0!</v>
      </c>
      <c r="AA58" s="31" t="e">
        <f t="shared" si="23"/>
        <v>#DIV/0!</v>
      </c>
      <c r="AD58" s="26" t="e">
        <f t="shared" si="24"/>
        <v>#DIV/0!</v>
      </c>
      <c r="AE58" s="26" t="e">
        <f t="shared" si="25"/>
        <v>#DIV/0!</v>
      </c>
      <c r="AL58" s="26">
        <f t="shared" si="26"/>
        <v>0</v>
      </c>
      <c r="AM58" s="26" t="e">
        <f t="shared" si="27"/>
        <v>#DIV/0!</v>
      </c>
      <c r="AR58" s="26" t="e">
        <f t="shared" si="28"/>
        <v>#DIV/0!</v>
      </c>
      <c r="AS58" s="26" t="e">
        <f t="shared" si="34"/>
        <v>#DIV/0!</v>
      </c>
      <c r="AT58" s="26" t="e">
        <f t="shared" si="38"/>
        <v>#DIV/0!</v>
      </c>
      <c r="AU58" s="26" t="e">
        <f t="shared" si="29"/>
        <v>#DIV/0!</v>
      </c>
      <c r="AV58" s="72" t="e">
        <f t="shared" si="30"/>
        <v>#DIV/0!</v>
      </c>
      <c r="AW58" s="2">
        <v>0</v>
      </c>
      <c r="AX58" s="2">
        <v>0</v>
      </c>
      <c r="AZ58" s="2" t="e">
        <f t="shared" si="31"/>
        <v>#DIV/0!</v>
      </c>
      <c r="BA58" s="26" t="e">
        <f t="shared" si="18"/>
        <v>#DIV/0!</v>
      </c>
      <c r="BB58" s="72" t="e">
        <f t="shared" si="32"/>
        <v>#DIV/0!</v>
      </c>
    </row>
    <row r="59" spans="1:54" x14ac:dyDescent="0.2">
      <c r="A59" s="2" t="s">
        <v>140</v>
      </c>
      <c r="C59" s="2">
        <v>1</v>
      </c>
      <c r="E59" s="2" t="s">
        <v>502</v>
      </c>
      <c r="F59" s="2">
        <v>0</v>
      </c>
      <c r="G59" s="2">
        <v>1</v>
      </c>
      <c r="H59" s="2">
        <v>0</v>
      </c>
      <c r="I59" s="2">
        <v>0</v>
      </c>
      <c r="L59" s="25">
        <f t="shared" si="37"/>
        <v>0.52800000000000002</v>
      </c>
      <c r="N59" s="26">
        <f t="shared" si="20"/>
        <v>0</v>
      </c>
      <c r="O59" s="26">
        <v>0.52800000000000002</v>
      </c>
      <c r="Y59" s="31" t="e">
        <f t="shared" si="21"/>
        <v>#DIV/0!</v>
      </c>
      <c r="Z59" s="31" t="e">
        <f t="shared" si="22"/>
        <v>#DIV/0!</v>
      </c>
      <c r="AA59" s="31" t="e">
        <f t="shared" si="23"/>
        <v>#DIV/0!</v>
      </c>
      <c r="AD59" s="26" t="e">
        <f t="shared" si="24"/>
        <v>#DIV/0!</v>
      </c>
      <c r="AE59" s="26" t="e">
        <f t="shared" si="25"/>
        <v>#DIV/0!</v>
      </c>
      <c r="AL59" s="26">
        <f t="shared" si="26"/>
        <v>0</v>
      </c>
      <c r="AM59" s="26" t="e">
        <f t="shared" si="27"/>
        <v>#DIV/0!</v>
      </c>
      <c r="AR59" s="26" t="e">
        <f t="shared" si="28"/>
        <v>#DIV/0!</v>
      </c>
      <c r="AS59" s="26" t="e">
        <f t="shared" si="34"/>
        <v>#DIV/0!</v>
      </c>
      <c r="AU59" s="26" t="e">
        <f t="shared" si="29"/>
        <v>#DIV/0!</v>
      </c>
      <c r="AV59" s="72" t="e">
        <f t="shared" si="30"/>
        <v>#DIV/0!</v>
      </c>
      <c r="AW59" s="2">
        <v>0</v>
      </c>
      <c r="AX59" s="2">
        <v>0</v>
      </c>
      <c r="AZ59" s="2" t="e">
        <f t="shared" si="31"/>
        <v>#DIV/0!</v>
      </c>
      <c r="BA59" s="26" t="e">
        <f t="shared" si="18"/>
        <v>#DIV/0!</v>
      </c>
      <c r="BB59" s="72" t="e">
        <f t="shared" si="32"/>
        <v>#DIV/0!</v>
      </c>
    </row>
    <row r="60" spans="1:54" x14ac:dyDescent="0.2">
      <c r="A60" s="2" t="s">
        <v>314</v>
      </c>
      <c r="C60" s="2">
        <v>1</v>
      </c>
      <c r="E60" s="2" t="s">
        <v>502</v>
      </c>
      <c r="F60" s="2">
        <v>0</v>
      </c>
      <c r="G60" s="2">
        <v>0</v>
      </c>
      <c r="H60" s="2">
        <v>0</v>
      </c>
      <c r="I60" s="2">
        <v>0</v>
      </c>
      <c r="L60" s="25">
        <f t="shared" si="37"/>
        <v>0.114</v>
      </c>
      <c r="N60" s="26">
        <f t="shared" si="20"/>
        <v>0</v>
      </c>
      <c r="O60" s="26">
        <v>0.114</v>
      </c>
      <c r="Y60" s="31" t="e">
        <f t="shared" si="21"/>
        <v>#DIV/0!</v>
      </c>
      <c r="Z60" s="31" t="e">
        <f t="shared" si="22"/>
        <v>#DIV/0!</v>
      </c>
      <c r="AA60" s="31" t="e">
        <f t="shared" si="23"/>
        <v>#DIV/0!</v>
      </c>
      <c r="AD60" s="26" t="e">
        <f t="shared" si="24"/>
        <v>#DIV/0!</v>
      </c>
      <c r="AE60" s="26" t="e">
        <f t="shared" si="25"/>
        <v>#DIV/0!</v>
      </c>
      <c r="AL60" s="26">
        <f t="shared" si="26"/>
        <v>0</v>
      </c>
      <c r="AM60" s="26" t="e">
        <f t="shared" si="27"/>
        <v>#DIV/0!</v>
      </c>
      <c r="AR60" s="26" t="e">
        <f t="shared" si="28"/>
        <v>#DIV/0!</v>
      </c>
      <c r="AS60" s="26" t="e">
        <f t="shared" si="34"/>
        <v>#DIV/0!</v>
      </c>
      <c r="AT60" s="26" t="e">
        <f>AO60*Z60</f>
        <v>#DIV/0!</v>
      </c>
      <c r="AU60" s="26" t="e">
        <f t="shared" si="29"/>
        <v>#DIV/0!</v>
      </c>
      <c r="AV60" s="72" t="e">
        <f t="shared" si="30"/>
        <v>#DIV/0!</v>
      </c>
      <c r="AW60" s="2">
        <v>0</v>
      </c>
      <c r="AX60" s="2">
        <v>0</v>
      </c>
      <c r="AZ60" s="2" t="e">
        <f t="shared" si="31"/>
        <v>#DIV/0!</v>
      </c>
      <c r="BA60" s="26" t="e">
        <f t="shared" si="18"/>
        <v>#DIV/0!</v>
      </c>
      <c r="BB60" s="72" t="e">
        <f t="shared" si="32"/>
        <v>#DIV/0!</v>
      </c>
    </row>
    <row r="61" spans="1:54" x14ac:dyDescent="0.2">
      <c r="A61" s="2" t="s">
        <v>142</v>
      </c>
      <c r="C61" s="2">
        <v>1</v>
      </c>
      <c r="E61" s="2" t="s">
        <v>502</v>
      </c>
      <c r="F61" s="2">
        <v>0</v>
      </c>
      <c r="G61" s="2">
        <v>1</v>
      </c>
      <c r="H61" s="2">
        <v>0</v>
      </c>
      <c r="I61" s="2">
        <v>0</v>
      </c>
      <c r="L61" s="25">
        <f t="shared" si="37"/>
        <v>0.7</v>
      </c>
      <c r="M61" s="26">
        <v>0.7</v>
      </c>
      <c r="N61" s="26">
        <f t="shared" si="20"/>
        <v>0</v>
      </c>
      <c r="Y61" s="31" t="e">
        <f t="shared" si="21"/>
        <v>#DIV/0!</v>
      </c>
      <c r="Z61" s="31" t="e">
        <f t="shared" si="22"/>
        <v>#DIV/0!</v>
      </c>
      <c r="AA61" s="31" t="e">
        <f t="shared" si="23"/>
        <v>#DIV/0!</v>
      </c>
      <c r="AD61" s="26" t="e">
        <f t="shared" si="24"/>
        <v>#DIV/0!</v>
      </c>
      <c r="AE61" s="26" t="e">
        <f t="shared" si="25"/>
        <v>#DIV/0!</v>
      </c>
      <c r="AL61" s="26">
        <f t="shared" si="26"/>
        <v>0</v>
      </c>
      <c r="AM61" s="26" t="e">
        <f t="shared" si="27"/>
        <v>#DIV/0!</v>
      </c>
      <c r="AR61" s="26" t="e">
        <f t="shared" si="28"/>
        <v>#DIV/0!</v>
      </c>
      <c r="AS61" s="26" t="e">
        <f t="shared" si="34"/>
        <v>#DIV/0!</v>
      </c>
      <c r="AU61" s="26" t="e">
        <f t="shared" si="29"/>
        <v>#DIV/0!</v>
      </c>
      <c r="AV61" s="72" t="e">
        <f t="shared" si="30"/>
        <v>#DIV/0!</v>
      </c>
      <c r="AW61" s="2">
        <v>0</v>
      </c>
      <c r="AX61" s="2">
        <v>0</v>
      </c>
      <c r="AZ61" s="2" t="e">
        <f t="shared" si="31"/>
        <v>#DIV/0!</v>
      </c>
      <c r="BA61" s="26" t="e">
        <f t="shared" si="18"/>
        <v>#DIV/0!</v>
      </c>
      <c r="BB61" s="72" t="e">
        <f t="shared" si="32"/>
        <v>#DIV/0!</v>
      </c>
    </row>
    <row r="62" spans="1:54" x14ac:dyDescent="0.2">
      <c r="A62" s="2" t="s">
        <v>143</v>
      </c>
      <c r="C62" s="2">
        <v>1</v>
      </c>
      <c r="E62" s="2" t="s">
        <v>502</v>
      </c>
      <c r="F62" s="2">
        <v>0</v>
      </c>
      <c r="G62" s="2">
        <v>1</v>
      </c>
      <c r="H62" s="2">
        <v>0</v>
      </c>
      <c r="I62" s="2">
        <v>0</v>
      </c>
      <c r="L62" s="25">
        <f t="shared" si="37"/>
        <v>0.15</v>
      </c>
      <c r="N62" s="26">
        <f t="shared" si="20"/>
        <v>0</v>
      </c>
      <c r="O62" s="26">
        <v>0.15</v>
      </c>
      <c r="Y62" s="31" t="e">
        <f t="shared" si="21"/>
        <v>#DIV/0!</v>
      </c>
      <c r="Z62" s="31" t="e">
        <f t="shared" si="22"/>
        <v>#DIV/0!</v>
      </c>
      <c r="AA62" s="31" t="e">
        <f t="shared" si="23"/>
        <v>#DIV/0!</v>
      </c>
      <c r="AD62" s="26" t="e">
        <f t="shared" si="24"/>
        <v>#DIV/0!</v>
      </c>
      <c r="AE62" s="26" t="e">
        <f t="shared" si="25"/>
        <v>#DIV/0!</v>
      </c>
      <c r="AL62" s="26">
        <f t="shared" si="26"/>
        <v>0</v>
      </c>
      <c r="AM62" s="26" t="e">
        <f t="shared" si="27"/>
        <v>#DIV/0!</v>
      </c>
      <c r="AR62" s="26" t="e">
        <f t="shared" si="28"/>
        <v>#DIV/0!</v>
      </c>
      <c r="AS62" s="26" t="e">
        <f t="shared" si="34"/>
        <v>#DIV/0!</v>
      </c>
      <c r="AU62" s="26" t="e">
        <f t="shared" si="29"/>
        <v>#DIV/0!</v>
      </c>
      <c r="AV62" s="72" t="e">
        <f t="shared" si="30"/>
        <v>#DIV/0!</v>
      </c>
      <c r="AW62" s="2">
        <v>0</v>
      </c>
      <c r="AX62" s="2">
        <v>0</v>
      </c>
      <c r="AZ62" s="2" t="e">
        <f t="shared" si="31"/>
        <v>#DIV/0!</v>
      </c>
      <c r="BA62" s="26" t="e">
        <f t="shared" si="18"/>
        <v>#DIV/0!</v>
      </c>
      <c r="BB62" s="72" t="e">
        <f t="shared" si="32"/>
        <v>#DIV/0!</v>
      </c>
    </row>
    <row r="63" spans="1:54" x14ac:dyDescent="0.2">
      <c r="A63" s="2" t="s">
        <v>296</v>
      </c>
      <c r="C63" s="2">
        <v>1</v>
      </c>
      <c r="E63" s="2" t="s">
        <v>502</v>
      </c>
      <c r="F63" s="2">
        <v>0</v>
      </c>
      <c r="G63" s="2">
        <v>0</v>
      </c>
      <c r="H63" s="2">
        <v>0</v>
      </c>
      <c r="I63" s="2">
        <v>0</v>
      </c>
      <c r="L63" s="25">
        <f t="shared" si="37"/>
        <v>0.17299999999999999</v>
      </c>
      <c r="N63" s="26">
        <f t="shared" si="20"/>
        <v>0</v>
      </c>
      <c r="O63" s="26">
        <v>0.17299999999999999</v>
      </c>
      <c r="Y63" s="31" t="e">
        <f t="shared" si="21"/>
        <v>#DIV/0!</v>
      </c>
      <c r="Z63" s="31" t="e">
        <f t="shared" si="22"/>
        <v>#DIV/0!</v>
      </c>
      <c r="AA63" s="31" t="e">
        <f t="shared" si="23"/>
        <v>#DIV/0!</v>
      </c>
      <c r="AD63" s="26" t="e">
        <f t="shared" si="24"/>
        <v>#DIV/0!</v>
      </c>
      <c r="AE63" s="26" t="e">
        <f t="shared" si="25"/>
        <v>#DIV/0!</v>
      </c>
      <c r="AL63" s="26">
        <f t="shared" si="26"/>
        <v>0</v>
      </c>
      <c r="AM63" s="26" t="e">
        <f t="shared" si="27"/>
        <v>#DIV/0!</v>
      </c>
      <c r="AR63" s="26" t="e">
        <f t="shared" si="28"/>
        <v>#DIV/0!</v>
      </c>
      <c r="AS63" s="26" t="e">
        <f t="shared" si="34"/>
        <v>#DIV/0!</v>
      </c>
      <c r="AT63" s="26" t="e">
        <f>AO63*Z63</f>
        <v>#DIV/0!</v>
      </c>
      <c r="AU63" s="26" t="e">
        <f t="shared" si="29"/>
        <v>#DIV/0!</v>
      </c>
      <c r="AV63" s="72" t="e">
        <f t="shared" si="30"/>
        <v>#DIV/0!</v>
      </c>
      <c r="AW63" s="2">
        <v>0</v>
      </c>
      <c r="AX63" s="2">
        <v>0</v>
      </c>
      <c r="AZ63" s="2" t="e">
        <f t="shared" si="31"/>
        <v>#DIV/0!</v>
      </c>
      <c r="BA63" s="26" t="e">
        <f t="shared" si="18"/>
        <v>#DIV/0!</v>
      </c>
      <c r="BB63" s="72" t="e">
        <f t="shared" si="32"/>
        <v>#DIV/0!</v>
      </c>
    </row>
    <row r="64" spans="1:54" x14ac:dyDescent="0.2">
      <c r="A64" s="2" t="s">
        <v>147</v>
      </c>
      <c r="C64" s="2">
        <v>1</v>
      </c>
      <c r="E64" s="2" t="s">
        <v>502</v>
      </c>
      <c r="F64" s="2">
        <v>0</v>
      </c>
      <c r="G64" s="2">
        <v>1</v>
      </c>
      <c r="H64" s="2">
        <v>0</v>
      </c>
      <c r="I64" s="2">
        <v>0</v>
      </c>
      <c r="L64" s="25">
        <f t="shared" si="37"/>
        <v>0.82399999999999995</v>
      </c>
      <c r="N64" s="26">
        <f t="shared" si="20"/>
        <v>0</v>
      </c>
      <c r="O64" s="26">
        <v>0.82399999999999995</v>
      </c>
      <c r="Y64" s="31" t="e">
        <f t="shared" si="21"/>
        <v>#DIV/0!</v>
      </c>
      <c r="Z64" s="31" t="e">
        <f t="shared" si="22"/>
        <v>#DIV/0!</v>
      </c>
      <c r="AA64" s="31" t="e">
        <f t="shared" si="23"/>
        <v>#DIV/0!</v>
      </c>
      <c r="AD64" s="26" t="e">
        <f t="shared" si="24"/>
        <v>#DIV/0!</v>
      </c>
      <c r="AE64" s="26" t="e">
        <f t="shared" si="25"/>
        <v>#DIV/0!</v>
      </c>
      <c r="AL64" s="26">
        <f t="shared" si="26"/>
        <v>0</v>
      </c>
      <c r="AM64" s="26" t="e">
        <f t="shared" si="27"/>
        <v>#DIV/0!</v>
      </c>
      <c r="AR64" s="26" t="e">
        <f t="shared" si="28"/>
        <v>#DIV/0!</v>
      </c>
      <c r="AS64" s="26" t="e">
        <f t="shared" si="34"/>
        <v>#DIV/0!</v>
      </c>
      <c r="AU64" s="26" t="e">
        <f t="shared" si="29"/>
        <v>#DIV/0!</v>
      </c>
      <c r="AV64" s="72" t="e">
        <f t="shared" si="30"/>
        <v>#DIV/0!</v>
      </c>
      <c r="AW64" s="2">
        <v>0</v>
      </c>
      <c r="AX64" s="2">
        <v>0</v>
      </c>
      <c r="AZ64" s="2" t="e">
        <f t="shared" si="31"/>
        <v>#DIV/0!</v>
      </c>
      <c r="BA64" s="26" t="e">
        <f t="shared" si="18"/>
        <v>#DIV/0!</v>
      </c>
      <c r="BB64" s="72" t="e">
        <f t="shared" si="32"/>
        <v>#DIV/0!</v>
      </c>
    </row>
    <row r="65" spans="1:54" x14ac:dyDescent="0.2">
      <c r="A65" s="2" t="s">
        <v>297</v>
      </c>
      <c r="C65" s="2">
        <v>1</v>
      </c>
      <c r="E65" s="2" t="s">
        <v>502</v>
      </c>
      <c r="F65" s="2">
        <v>0</v>
      </c>
      <c r="G65" s="2">
        <v>0</v>
      </c>
      <c r="H65" s="2">
        <v>0</v>
      </c>
      <c r="I65" s="2">
        <v>0</v>
      </c>
      <c r="L65" s="25">
        <f t="shared" si="37"/>
        <v>0.66800000000000004</v>
      </c>
      <c r="N65" s="26">
        <f t="shared" si="20"/>
        <v>0</v>
      </c>
      <c r="O65" s="26">
        <v>0.66800000000000004</v>
      </c>
      <c r="Y65" s="31" t="e">
        <f t="shared" si="21"/>
        <v>#DIV/0!</v>
      </c>
      <c r="Z65" s="31" t="e">
        <f t="shared" si="22"/>
        <v>#DIV/0!</v>
      </c>
      <c r="AA65" s="31" t="e">
        <f t="shared" si="23"/>
        <v>#DIV/0!</v>
      </c>
      <c r="AD65" s="26" t="e">
        <f t="shared" si="24"/>
        <v>#DIV/0!</v>
      </c>
      <c r="AE65" s="26" t="e">
        <f t="shared" si="25"/>
        <v>#DIV/0!</v>
      </c>
      <c r="AL65" s="26">
        <f t="shared" si="26"/>
        <v>0</v>
      </c>
      <c r="AM65" s="26" t="e">
        <f t="shared" si="27"/>
        <v>#DIV/0!</v>
      </c>
      <c r="AR65" s="26" t="e">
        <f t="shared" si="28"/>
        <v>#DIV/0!</v>
      </c>
      <c r="AS65" s="26" t="e">
        <f t="shared" si="34"/>
        <v>#DIV/0!</v>
      </c>
      <c r="AT65" s="26" t="e">
        <f>AO65*Z65</f>
        <v>#DIV/0!</v>
      </c>
      <c r="AU65" s="26" t="e">
        <f t="shared" si="29"/>
        <v>#DIV/0!</v>
      </c>
      <c r="AV65" s="72" t="e">
        <f t="shared" si="30"/>
        <v>#DIV/0!</v>
      </c>
      <c r="AW65" s="2">
        <v>0</v>
      </c>
      <c r="AX65" s="2">
        <v>0</v>
      </c>
      <c r="AZ65" s="2" t="e">
        <f t="shared" si="31"/>
        <v>#DIV/0!</v>
      </c>
      <c r="BA65" s="26" t="e">
        <f t="shared" si="18"/>
        <v>#DIV/0!</v>
      </c>
      <c r="BB65" s="72" t="e">
        <f t="shared" si="32"/>
        <v>#DIV/0!</v>
      </c>
    </row>
    <row r="66" spans="1:54" x14ac:dyDescent="0.2">
      <c r="A66" s="2" t="s">
        <v>298</v>
      </c>
      <c r="C66" s="2">
        <v>1</v>
      </c>
      <c r="E66" s="2" t="s">
        <v>502</v>
      </c>
      <c r="F66" s="2">
        <v>0</v>
      </c>
      <c r="G66" s="2">
        <v>0</v>
      </c>
      <c r="H66" s="2">
        <v>0</v>
      </c>
      <c r="I66" s="2">
        <v>0</v>
      </c>
      <c r="L66" s="25">
        <f t="shared" si="37"/>
        <v>0.45300000000000001</v>
      </c>
      <c r="N66" s="26">
        <f t="shared" si="20"/>
        <v>0</v>
      </c>
      <c r="O66" s="26">
        <v>0.45300000000000001</v>
      </c>
      <c r="Y66" s="31" t="e">
        <f t="shared" ref="Y66:Y97" si="39">IF(K66&gt;0,(K66-X66)/(J66-X66),(L66-X66)/(J66-X66))</f>
        <v>#DIV/0!</v>
      </c>
      <c r="Z66" s="31" t="e">
        <f t="shared" si="22"/>
        <v>#DIV/0!</v>
      </c>
      <c r="AA66" s="31" t="e">
        <f t="shared" ref="AA66:AA97" si="40">Z66/Y66</f>
        <v>#DIV/0!</v>
      </c>
      <c r="AD66" s="26" t="e">
        <f t="shared" ref="AD66:AD97" si="41">Y66*AC66</f>
        <v>#DIV/0!</v>
      </c>
      <c r="AE66" s="26" t="e">
        <f t="shared" si="25"/>
        <v>#DIV/0!</v>
      </c>
      <c r="AL66" s="26">
        <f t="shared" si="26"/>
        <v>0</v>
      </c>
      <c r="AM66" s="26" t="e">
        <f t="shared" ref="AM66:AM97" si="42">AL66*AE66/AC66</f>
        <v>#DIV/0!</v>
      </c>
      <c r="AR66" s="26" t="e">
        <f t="shared" ref="AR66:AR97" si="43">IF(AS66&gt;0,0,MAX(0,(AL66-0.8*AO66)*Z66))</f>
        <v>#DIV/0!</v>
      </c>
      <c r="AS66" s="26" t="e">
        <f t="shared" si="34"/>
        <v>#DIV/0!</v>
      </c>
      <c r="AT66" s="26" t="e">
        <f>AO66*Z66</f>
        <v>#DIV/0!</v>
      </c>
      <c r="AU66" s="26" t="e">
        <f t="shared" ref="AU66:AU97" si="44">SUM(AR66:AT66)</f>
        <v>#DIV/0!</v>
      </c>
      <c r="AV66" s="72" t="e">
        <f t="shared" ref="AV66:AV97" si="45">AU66/L66</f>
        <v>#DIV/0!</v>
      </c>
      <c r="AW66" s="2">
        <v>0</v>
      </c>
      <c r="AX66" s="2">
        <v>0</v>
      </c>
      <c r="AZ66" s="2" t="e">
        <f t="shared" si="31"/>
        <v>#DIV/0!</v>
      </c>
      <c r="BA66" s="26" t="e">
        <f t="shared" si="18"/>
        <v>#DIV/0!</v>
      </c>
      <c r="BB66" s="72" t="e">
        <f t="shared" ref="BB66:BB97" si="46">BA66/L66</f>
        <v>#DIV/0!</v>
      </c>
    </row>
    <row r="67" spans="1:54" x14ac:dyDescent="0.2">
      <c r="A67" s="2" t="s">
        <v>299</v>
      </c>
      <c r="C67" s="2">
        <v>1</v>
      </c>
      <c r="E67" s="2" t="s">
        <v>502</v>
      </c>
      <c r="F67" s="2">
        <v>0</v>
      </c>
      <c r="G67" s="2">
        <v>0</v>
      </c>
      <c r="H67" s="2">
        <v>0</v>
      </c>
      <c r="I67" s="2">
        <v>0</v>
      </c>
      <c r="L67" s="25">
        <f t="shared" si="37"/>
        <v>0.2</v>
      </c>
      <c r="N67" s="26">
        <f t="shared" si="20"/>
        <v>0</v>
      </c>
      <c r="O67" s="26">
        <v>0.2</v>
      </c>
      <c r="Y67" s="31" t="e">
        <f t="shared" si="39"/>
        <v>#DIV/0!</v>
      </c>
      <c r="Z67" s="31" t="e">
        <f t="shared" si="22"/>
        <v>#DIV/0!</v>
      </c>
      <c r="AA67" s="31" t="e">
        <f t="shared" si="40"/>
        <v>#DIV/0!</v>
      </c>
      <c r="AD67" s="26" t="e">
        <f t="shared" si="41"/>
        <v>#DIV/0!</v>
      </c>
      <c r="AE67" s="26" t="e">
        <f t="shared" si="25"/>
        <v>#DIV/0!</v>
      </c>
      <c r="AL67" s="26">
        <f t="shared" si="26"/>
        <v>0</v>
      </c>
      <c r="AM67" s="26" t="e">
        <f t="shared" si="42"/>
        <v>#DIV/0!</v>
      </c>
      <c r="AR67" s="26" t="e">
        <f t="shared" si="43"/>
        <v>#DIV/0!</v>
      </c>
      <c r="AS67" s="26" t="e">
        <f t="shared" si="34"/>
        <v>#DIV/0!</v>
      </c>
      <c r="AT67" s="26" t="e">
        <f>AO67*Z67</f>
        <v>#DIV/0!</v>
      </c>
      <c r="AU67" s="26" t="e">
        <f t="shared" si="44"/>
        <v>#DIV/0!</v>
      </c>
      <c r="AV67" s="72" t="e">
        <f t="shared" si="45"/>
        <v>#DIV/0!</v>
      </c>
      <c r="AW67" s="2">
        <v>0</v>
      </c>
      <c r="AX67" s="2">
        <v>0</v>
      </c>
      <c r="AZ67" s="2" t="e">
        <f t="shared" si="31"/>
        <v>#DIV/0!</v>
      </c>
      <c r="BA67" s="26" t="e">
        <f t="shared" si="18"/>
        <v>#DIV/0!</v>
      </c>
      <c r="BB67" s="72" t="e">
        <f t="shared" si="46"/>
        <v>#DIV/0!</v>
      </c>
    </row>
    <row r="68" spans="1:54" x14ac:dyDescent="0.2">
      <c r="A68" s="2" t="s">
        <v>300</v>
      </c>
      <c r="C68" s="2">
        <v>1</v>
      </c>
      <c r="E68" s="2" t="s">
        <v>502</v>
      </c>
      <c r="F68" s="2">
        <v>0</v>
      </c>
      <c r="G68" s="2">
        <v>0</v>
      </c>
      <c r="H68" s="2">
        <v>0</v>
      </c>
      <c r="I68" s="2">
        <v>0</v>
      </c>
      <c r="L68" s="25">
        <f t="shared" si="37"/>
        <v>0.30399999999999999</v>
      </c>
      <c r="N68" s="26">
        <f t="shared" si="20"/>
        <v>0</v>
      </c>
      <c r="O68" s="26">
        <v>0.30399999999999999</v>
      </c>
      <c r="Y68" s="31" t="e">
        <f t="shared" si="39"/>
        <v>#DIV/0!</v>
      </c>
      <c r="Z68" s="31" t="e">
        <f t="shared" si="22"/>
        <v>#DIV/0!</v>
      </c>
      <c r="AA68" s="31" t="e">
        <f t="shared" si="40"/>
        <v>#DIV/0!</v>
      </c>
      <c r="AD68" s="26" t="e">
        <f t="shared" si="41"/>
        <v>#DIV/0!</v>
      </c>
      <c r="AE68" s="26" t="e">
        <f t="shared" si="25"/>
        <v>#DIV/0!</v>
      </c>
      <c r="AL68" s="26">
        <f t="shared" si="26"/>
        <v>0</v>
      </c>
      <c r="AM68" s="26" t="e">
        <f t="shared" si="42"/>
        <v>#DIV/0!</v>
      </c>
      <c r="AR68" s="26" t="e">
        <f t="shared" si="43"/>
        <v>#DIV/0!</v>
      </c>
      <c r="AS68" s="26" t="e">
        <f t="shared" si="34"/>
        <v>#DIV/0!</v>
      </c>
      <c r="AT68" s="26" t="e">
        <f>AO68*Z68</f>
        <v>#DIV/0!</v>
      </c>
      <c r="AU68" s="26" t="e">
        <f t="shared" si="44"/>
        <v>#DIV/0!</v>
      </c>
      <c r="AV68" s="72" t="e">
        <f t="shared" si="45"/>
        <v>#DIV/0!</v>
      </c>
      <c r="AW68" s="2">
        <v>0</v>
      </c>
      <c r="AX68" s="2">
        <v>0</v>
      </c>
      <c r="AZ68" s="2" t="e">
        <f t="shared" si="31"/>
        <v>#DIV/0!</v>
      </c>
      <c r="BA68" s="26" t="e">
        <f t="shared" si="18"/>
        <v>#DIV/0!</v>
      </c>
      <c r="BB68" s="72" t="e">
        <f t="shared" si="46"/>
        <v>#DIV/0!</v>
      </c>
    </row>
    <row r="69" spans="1:54" x14ac:dyDescent="0.2">
      <c r="A69" s="18" t="s">
        <v>439</v>
      </c>
      <c r="C69" s="2">
        <v>1</v>
      </c>
      <c r="E69" s="2" t="s">
        <v>502</v>
      </c>
      <c r="F69" s="2">
        <v>0</v>
      </c>
      <c r="G69" s="2">
        <v>0</v>
      </c>
      <c r="H69" s="2">
        <v>0</v>
      </c>
      <c r="I69" s="2">
        <v>0</v>
      </c>
      <c r="J69" s="25">
        <v>6.0111629999999998</v>
      </c>
      <c r="K69" s="11"/>
      <c r="L69" s="11">
        <f>M69-1.775</f>
        <v>0.5163000000000002</v>
      </c>
      <c r="M69" s="9">
        <v>2.2913000000000001</v>
      </c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W69" s="2">
        <v>1</v>
      </c>
      <c r="AX69" s="2">
        <v>1</v>
      </c>
    </row>
    <row r="70" spans="1:54" x14ac:dyDescent="0.2">
      <c r="A70" s="2" t="s">
        <v>165</v>
      </c>
      <c r="C70" s="2">
        <v>1</v>
      </c>
      <c r="E70" s="2" t="s">
        <v>502</v>
      </c>
      <c r="F70" s="2">
        <v>0</v>
      </c>
      <c r="G70" s="2">
        <v>0</v>
      </c>
      <c r="H70" s="2">
        <v>0</v>
      </c>
      <c r="I70" s="2">
        <v>0</v>
      </c>
      <c r="L70" s="25">
        <f t="shared" ref="L70:L115" si="47">IF(SUM(N70:R70),SUM(N70:R70),M70)</f>
        <v>0.2</v>
      </c>
      <c r="N70" s="26">
        <f t="shared" ref="N70:N115" si="48">SUM(S70:W70)</f>
        <v>0</v>
      </c>
      <c r="O70" s="26">
        <v>0.2</v>
      </c>
      <c r="Y70" s="31" t="e">
        <f t="shared" ref="Y70:Y115" si="49">IF(K70&gt;0,(K70-X70)/(J70-X70),(L70-X70)/(J70-X70))</f>
        <v>#DIV/0!</v>
      </c>
      <c r="Z70" s="31" t="e">
        <f t="shared" ref="Z70:Z115" si="50">(L70-X70)/(J70-X70)</f>
        <v>#DIV/0!</v>
      </c>
      <c r="AA70" s="31" t="e">
        <f t="shared" ref="AA70:AA115" si="51">Z70/Y70</f>
        <v>#DIV/0!</v>
      </c>
      <c r="AD70" s="26" t="e">
        <f t="shared" ref="AD70:AD115" si="52">Y70*AC70</f>
        <v>#DIV/0!</v>
      </c>
      <c r="AE70" s="26" t="e">
        <f t="shared" ref="AE70:AE115" si="53">Z70*AC70</f>
        <v>#DIV/0!</v>
      </c>
      <c r="AL70" s="26">
        <f t="shared" ref="AL70:AL115" si="54">SUM(AG70:AH70)</f>
        <v>0</v>
      </c>
      <c r="AM70" s="26" t="e">
        <f t="shared" ref="AM70:AM115" si="55">AL70*AE70/AC70</f>
        <v>#DIV/0!</v>
      </c>
      <c r="AR70" s="26" t="e">
        <f t="shared" ref="AR70:AR115" si="56">IF(AS70&gt;0,0,MAX(0,(AL70-0.8*AO70)*Z70))</f>
        <v>#DIV/0!</v>
      </c>
      <c r="AS70" s="26" t="e">
        <f t="shared" ref="AS70:AS115" si="57">AN70*Z70</f>
        <v>#DIV/0!</v>
      </c>
      <c r="AT70" s="26" t="e">
        <f t="shared" ref="AT70:AT87" si="58">AO70*Z70</f>
        <v>#DIV/0!</v>
      </c>
      <c r="AU70" s="26" t="e">
        <f t="shared" ref="AU70:AU115" si="59">SUM(AR70:AT70)</f>
        <v>#DIV/0!</v>
      </c>
      <c r="AV70" s="72" t="e">
        <f t="shared" ref="AV70:AV115" si="60">AU70/L70</f>
        <v>#DIV/0!</v>
      </c>
      <c r="AW70" s="2">
        <v>0</v>
      </c>
      <c r="AX70" s="2">
        <v>0</v>
      </c>
      <c r="AZ70" s="2" t="e">
        <f t="shared" ref="AZ70:AZ115" si="61">MAX(0,(AL70-0.8*AO70)*Z70)</f>
        <v>#DIV/0!</v>
      </c>
      <c r="BA70" s="26" t="e">
        <f t="shared" ref="BA70:BA115" si="62">AZ70+AT70</f>
        <v>#DIV/0!</v>
      </c>
      <c r="BB70" s="72" t="e">
        <f t="shared" ref="BB70:BB115" si="63">BA70/L70</f>
        <v>#DIV/0!</v>
      </c>
    </row>
    <row r="71" spans="1:54" x14ac:dyDescent="0.2">
      <c r="A71" s="2" t="s">
        <v>166</v>
      </c>
      <c r="C71" s="2">
        <v>1</v>
      </c>
      <c r="E71" s="2" t="s">
        <v>502</v>
      </c>
      <c r="F71" s="2">
        <v>0</v>
      </c>
      <c r="G71" s="2">
        <v>1</v>
      </c>
      <c r="H71" s="2">
        <v>0</v>
      </c>
      <c r="I71" s="2">
        <v>0</v>
      </c>
      <c r="L71" s="25">
        <f t="shared" si="47"/>
        <v>0.99299999999999999</v>
      </c>
      <c r="N71" s="26">
        <f t="shared" si="48"/>
        <v>0</v>
      </c>
      <c r="O71" s="26">
        <v>0.99299999999999999</v>
      </c>
      <c r="Y71" s="31" t="e">
        <f t="shared" si="49"/>
        <v>#DIV/0!</v>
      </c>
      <c r="Z71" s="31" t="e">
        <f t="shared" si="50"/>
        <v>#DIV/0!</v>
      </c>
      <c r="AA71" s="31" t="e">
        <f t="shared" si="51"/>
        <v>#DIV/0!</v>
      </c>
      <c r="AD71" s="26" t="e">
        <f t="shared" si="52"/>
        <v>#DIV/0!</v>
      </c>
      <c r="AE71" s="26" t="e">
        <f t="shared" si="53"/>
        <v>#DIV/0!</v>
      </c>
      <c r="AL71" s="26">
        <f t="shared" si="54"/>
        <v>0</v>
      </c>
      <c r="AM71" s="26" t="e">
        <f t="shared" si="55"/>
        <v>#DIV/0!</v>
      </c>
      <c r="AR71" s="26" t="e">
        <f t="shared" si="56"/>
        <v>#DIV/0!</v>
      </c>
      <c r="AS71" s="26" t="e">
        <f t="shared" si="57"/>
        <v>#DIV/0!</v>
      </c>
      <c r="AT71" s="26" t="e">
        <f t="shared" si="58"/>
        <v>#DIV/0!</v>
      </c>
      <c r="AU71" s="26" t="e">
        <f t="shared" si="59"/>
        <v>#DIV/0!</v>
      </c>
      <c r="AV71" s="72" t="e">
        <f t="shared" si="60"/>
        <v>#DIV/0!</v>
      </c>
      <c r="AW71" s="2">
        <v>0</v>
      </c>
      <c r="AX71" s="2">
        <v>0</v>
      </c>
      <c r="AZ71" s="2" t="e">
        <f t="shared" si="61"/>
        <v>#DIV/0!</v>
      </c>
      <c r="BA71" s="26" t="e">
        <f t="shared" si="62"/>
        <v>#DIV/0!</v>
      </c>
      <c r="BB71" s="72" t="e">
        <f t="shared" si="63"/>
        <v>#DIV/0!</v>
      </c>
    </row>
    <row r="72" spans="1:54" x14ac:dyDescent="0.2">
      <c r="A72" s="2" t="s">
        <v>1044</v>
      </c>
      <c r="C72" s="2">
        <v>1</v>
      </c>
      <c r="E72" s="2" t="s">
        <v>502</v>
      </c>
      <c r="F72" s="2">
        <v>0</v>
      </c>
      <c r="G72" s="2">
        <v>0</v>
      </c>
      <c r="H72" s="2">
        <v>0</v>
      </c>
      <c r="I72" s="2">
        <v>0</v>
      </c>
      <c r="L72" s="25">
        <f t="shared" si="47"/>
        <v>0.442</v>
      </c>
      <c r="N72" s="26">
        <f t="shared" si="48"/>
        <v>0</v>
      </c>
      <c r="O72" s="26">
        <v>0.442</v>
      </c>
      <c r="Y72" s="31" t="e">
        <f t="shared" si="49"/>
        <v>#DIV/0!</v>
      </c>
      <c r="Z72" s="31" t="e">
        <f t="shared" si="50"/>
        <v>#DIV/0!</v>
      </c>
      <c r="AA72" s="31" t="e">
        <f t="shared" si="51"/>
        <v>#DIV/0!</v>
      </c>
      <c r="AD72" s="26" t="e">
        <f t="shared" si="52"/>
        <v>#DIV/0!</v>
      </c>
      <c r="AE72" s="26" t="e">
        <f t="shared" si="53"/>
        <v>#DIV/0!</v>
      </c>
      <c r="AL72" s="26">
        <f t="shared" si="54"/>
        <v>0</v>
      </c>
      <c r="AM72" s="26" t="e">
        <f t="shared" si="55"/>
        <v>#DIV/0!</v>
      </c>
      <c r="AR72" s="26" t="e">
        <f t="shared" si="56"/>
        <v>#DIV/0!</v>
      </c>
      <c r="AS72" s="26" t="e">
        <f t="shared" si="57"/>
        <v>#DIV/0!</v>
      </c>
      <c r="AT72" s="26" t="e">
        <f t="shared" si="58"/>
        <v>#DIV/0!</v>
      </c>
      <c r="AU72" s="26" t="e">
        <f t="shared" si="59"/>
        <v>#DIV/0!</v>
      </c>
      <c r="AV72" s="72" t="e">
        <f t="shared" si="60"/>
        <v>#DIV/0!</v>
      </c>
      <c r="AW72" s="2">
        <v>0</v>
      </c>
      <c r="AX72" s="2">
        <v>0</v>
      </c>
      <c r="AZ72" s="2" t="e">
        <f t="shared" si="61"/>
        <v>#DIV/0!</v>
      </c>
      <c r="BA72" s="26" t="e">
        <f t="shared" si="62"/>
        <v>#DIV/0!</v>
      </c>
      <c r="BB72" s="72" t="e">
        <f t="shared" si="63"/>
        <v>#DIV/0!</v>
      </c>
    </row>
    <row r="73" spans="1:54" x14ac:dyDescent="0.2">
      <c r="A73" s="2" t="s">
        <v>1044</v>
      </c>
      <c r="C73" s="2">
        <v>1</v>
      </c>
      <c r="E73" s="2" t="s">
        <v>502</v>
      </c>
      <c r="F73" s="2">
        <v>0</v>
      </c>
      <c r="G73" s="2">
        <v>0</v>
      </c>
      <c r="H73" s="2">
        <v>0</v>
      </c>
      <c r="I73" s="2">
        <v>0</v>
      </c>
      <c r="L73" s="25">
        <f t="shared" si="47"/>
        <v>0.2</v>
      </c>
      <c r="N73" s="26">
        <f t="shared" si="48"/>
        <v>0</v>
      </c>
      <c r="O73" s="26">
        <v>0.2</v>
      </c>
      <c r="Y73" s="31" t="e">
        <f t="shared" si="49"/>
        <v>#DIV/0!</v>
      </c>
      <c r="Z73" s="31" t="e">
        <f t="shared" si="50"/>
        <v>#DIV/0!</v>
      </c>
      <c r="AA73" s="31" t="e">
        <f t="shared" si="51"/>
        <v>#DIV/0!</v>
      </c>
      <c r="AD73" s="26" t="e">
        <f t="shared" si="52"/>
        <v>#DIV/0!</v>
      </c>
      <c r="AE73" s="26" t="e">
        <f t="shared" si="53"/>
        <v>#DIV/0!</v>
      </c>
      <c r="AL73" s="26">
        <f t="shared" si="54"/>
        <v>0</v>
      </c>
      <c r="AM73" s="26" t="e">
        <f t="shared" si="55"/>
        <v>#DIV/0!</v>
      </c>
      <c r="AR73" s="26" t="e">
        <f t="shared" si="56"/>
        <v>#DIV/0!</v>
      </c>
      <c r="AS73" s="26" t="e">
        <f t="shared" si="57"/>
        <v>#DIV/0!</v>
      </c>
      <c r="AT73" s="26" t="e">
        <f t="shared" si="58"/>
        <v>#DIV/0!</v>
      </c>
      <c r="AU73" s="26" t="e">
        <f t="shared" si="59"/>
        <v>#DIV/0!</v>
      </c>
      <c r="AV73" s="72" t="e">
        <f t="shared" si="60"/>
        <v>#DIV/0!</v>
      </c>
      <c r="AW73" s="2">
        <v>0</v>
      </c>
      <c r="AX73" s="2">
        <v>0</v>
      </c>
      <c r="AZ73" s="2" t="e">
        <f t="shared" si="61"/>
        <v>#DIV/0!</v>
      </c>
      <c r="BA73" s="26" t="e">
        <f t="shared" si="62"/>
        <v>#DIV/0!</v>
      </c>
      <c r="BB73" s="72" t="e">
        <f t="shared" si="63"/>
        <v>#DIV/0!</v>
      </c>
    </row>
    <row r="74" spans="1:54" x14ac:dyDescent="0.2">
      <c r="A74" s="2" t="s">
        <v>1044</v>
      </c>
      <c r="C74" s="2">
        <v>1</v>
      </c>
      <c r="E74" s="2" t="s">
        <v>502</v>
      </c>
      <c r="F74" s="2">
        <v>0</v>
      </c>
      <c r="G74" s="2">
        <v>0</v>
      </c>
      <c r="H74" s="2">
        <v>0</v>
      </c>
      <c r="I74" s="2">
        <v>0</v>
      </c>
      <c r="L74" s="25">
        <f t="shared" si="47"/>
        <v>0.45800000000000002</v>
      </c>
      <c r="N74" s="26">
        <f t="shared" si="48"/>
        <v>0</v>
      </c>
      <c r="O74" s="26">
        <v>0.45800000000000002</v>
      </c>
      <c r="Y74" s="31" t="e">
        <f t="shared" si="49"/>
        <v>#DIV/0!</v>
      </c>
      <c r="Z74" s="31" t="e">
        <f t="shared" si="50"/>
        <v>#DIV/0!</v>
      </c>
      <c r="AA74" s="31" t="e">
        <f t="shared" si="51"/>
        <v>#DIV/0!</v>
      </c>
      <c r="AD74" s="26" t="e">
        <f t="shared" si="52"/>
        <v>#DIV/0!</v>
      </c>
      <c r="AE74" s="26" t="e">
        <f t="shared" si="53"/>
        <v>#DIV/0!</v>
      </c>
      <c r="AL74" s="26">
        <f t="shared" si="54"/>
        <v>0</v>
      </c>
      <c r="AM74" s="26" t="e">
        <f t="shared" si="55"/>
        <v>#DIV/0!</v>
      </c>
      <c r="AR74" s="26" t="e">
        <f t="shared" si="56"/>
        <v>#DIV/0!</v>
      </c>
      <c r="AS74" s="26" t="e">
        <f t="shared" si="57"/>
        <v>#DIV/0!</v>
      </c>
      <c r="AT74" s="26" t="e">
        <f t="shared" si="58"/>
        <v>#DIV/0!</v>
      </c>
      <c r="AU74" s="26" t="e">
        <f t="shared" si="59"/>
        <v>#DIV/0!</v>
      </c>
      <c r="AV74" s="72" t="e">
        <f t="shared" si="60"/>
        <v>#DIV/0!</v>
      </c>
      <c r="AW74" s="2">
        <v>0</v>
      </c>
      <c r="AX74" s="2">
        <v>0</v>
      </c>
      <c r="AZ74" s="2" t="e">
        <f t="shared" si="61"/>
        <v>#DIV/0!</v>
      </c>
      <c r="BA74" s="26" t="e">
        <f t="shared" si="62"/>
        <v>#DIV/0!</v>
      </c>
      <c r="BB74" s="72" t="e">
        <f t="shared" si="63"/>
        <v>#DIV/0!</v>
      </c>
    </row>
    <row r="75" spans="1:54" x14ac:dyDescent="0.2">
      <c r="A75" s="2" t="s">
        <v>167</v>
      </c>
      <c r="C75" s="2">
        <v>1</v>
      </c>
      <c r="E75" s="2" t="s">
        <v>502</v>
      </c>
      <c r="F75" s="2">
        <v>0</v>
      </c>
      <c r="G75" s="2">
        <v>1</v>
      </c>
      <c r="H75" s="2">
        <v>0</v>
      </c>
      <c r="I75" s="2">
        <v>0</v>
      </c>
      <c r="L75" s="25">
        <f t="shared" si="47"/>
        <v>0.6</v>
      </c>
      <c r="N75" s="26">
        <f t="shared" si="48"/>
        <v>0</v>
      </c>
      <c r="O75" s="26">
        <v>0.6</v>
      </c>
      <c r="Y75" s="31" t="e">
        <f t="shared" si="49"/>
        <v>#DIV/0!</v>
      </c>
      <c r="Z75" s="31" t="e">
        <f t="shared" si="50"/>
        <v>#DIV/0!</v>
      </c>
      <c r="AA75" s="31" t="e">
        <f t="shared" si="51"/>
        <v>#DIV/0!</v>
      </c>
      <c r="AD75" s="26" t="e">
        <f t="shared" si="52"/>
        <v>#DIV/0!</v>
      </c>
      <c r="AE75" s="26" t="e">
        <f t="shared" si="53"/>
        <v>#DIV/0!</v>
      </c>
      <c r="AL75" s="26">
        <f t="shared" si="54"/>
        <v>0</v>
      </c>
      <c r="AM75" s="26" t="e">
        <f t="shared" si="55"/>
        <v>#DIV/0!</v>
      </c>
      <c r="AR75" s="26" t="e">
        <f t="shared" si="56"/>
        <v>#DIV/0!</v>
      </c>
      <c r="AS75" s="26" t="e">
        <f t="shared" si="57"/>
        <v>#DIV/0!</v>
      </c>
      <c r="AT75" s="26" t="e">
        <f t="shared" si="58"/>
        <v>#DIV/0!</v>
      </c>
      <c r="AU75" s="26" t="e">
        <f t="shared" si="59"/>
        <v>#DIV/0!</v>
      </c>
      <c r="AV75" s="72" t="e">
        <f t="shared" si="60"/>
        <v>#DIV/0!</v>
      </c>
      <c r="AW75" s="2">
        <v>0</v>
      </c>
      <c r="AX75" s="2">
        <v>0</v>
      </c>
      <c r="AZ75" s="2" t="e">
        <f t="shared" si="61"/>
        <v>#DIV/0!</v>
      </c>
      <c r="BA75" s="26" t="e">
        <f t="shared" si="62"/>
        <v>#DIV/0!</v>
      </c>
      <c r="BB75" s="72" t="e">
        <f t="shared" si="63"/>
        <v>#DIV/0!</v>
      </c>
    </row>
    <row r="76" spans="1:54" x14ac:dyDescent="0.2">
      <c r="A76" s="2" t="s">
        <v>168</v>
      </c>
      <c r="C76" s="2">
        <v>1</v>
      </c>
      <c r="E76" s="2" t="s">
        <v>502</v>
      </c>
      <c r="F76" s="2">
        <v>0</v>
      </c>
      <c r="G76" s="2">
        <v>0</v>
      </c>
      <c r="H76" s="2">
        <v>0</v>
      </c>
      <c r="I76" s="2">
        <v>0</v>
      </c>
      <c r="L76" s="25">
        <f t="shared" si="47"/>
        <v>0.58599999999999997</v>
      </c>
      <c r="N76" s="26">
        <f t="shared" si="48"/>
        <v>0</v>
      </c>
      <c r="O76" s="26">
        <v>0.58599999999999997</v>
      </c>
      <c r="Y76" s="31" t="e">
        <f t="shared" si="49"/>
        <v>#DIV/0!</v>
      </c>
      <c r="Z76" s="31" t="e">
        <f t="shared" si="50"/>
        <v>#DIV/0!</v>
      </c>
      <c r="AA76" s="31" t="e">
        <f t="shared" si="51"/>
        <v>#DIV/0!</v>
      </c>
      <c r="AD76" s="26" t="e">
        <f t="shared" si="52"/>
        <v>#DIV/0!</v>
      </c>
      <c r="AE76" s="26" t="e">
        <f t="shared" si="53"/>
        <v>#DIV/0!</v>
      </c>
      <c r="AL76" s="26">
        <f t="shared" si="54"/>
        <v>0</v>
      </c>
      <c r="AM76" s="26" t="e">
        <f t="shared" si="55"/>
        <v>#DIV/0!</v>
      </c>
      <c r="AR76" s="26" t="e">
        <f t="shared" si="56"/>
        <v>#DIV/0!</v>
      </c>
      <c r="AS76" s="26" t="e">
        <f t="shared" si="57"/>
        <v>#DIV/0!</v>
      </c>
      <c r="AT76" s="26" t="e">
        <f t="shared" si="58"/>
        <v>#DIV/0!</v>
      </c>
      <c r="AU76" s="26" t="e">
        <f t="shared" si="59"/>
        <v>#DIV/0!</v>
      </c>
      <c r="AV76" s="72" t="e">
        <f t="shared" si="60"/>
        <v>#DIV/0!</v>
      </c>
      <c r="AW76" s="2">
        <v>0</v>
      </c>
      <c r="AX76" s="2">
        <v>0</v>
      </c>
      <c r="AZ76" s="2" t="e">
        <f t="shared" si="61"/>
        <v>#DIV/0!</v>
      </c>
      <c r="BA76" s="26" t="e">
        <f t="shared" si="62"/>
        <v>#DIV/0!</v>
      </c>
      <c r="BB76" s="72" t="e">
        <f t="shared" si="63"/>
        <v>#DIV/0!</v>
      </c>
    </row>
    <row r="77" spans="1:54" x14ac:dyDescent="0.2">
      <c r="A77" s="2" t="s">
        <v>169</v>
      </c>
      <c r="C77" s="2">
        <v>1</v>
      </c>
      <c r="E77" s="2" t="s">
        <v>502</v>
      </c>
      <c r="F77" s="2">
        <v>0</v>
      </c>
      <c r="G77" s="2">
        <v>0</v>
      </c>
      <c r="H77" s="2">
        <v>0</v>
      </c>
      <c r="I77" s="2">
        <v>0</v>
      </c>
      <c r="L77" s="25">
        <f t="shared" si="47"/>
        <v>0.20899999999999999</v>
      </c>
      <c r="N77" s="26">
        <f t="shared" si="48"/>
        <v>0</v>
      </c>
      <c r="O77" s="26">
        <v>0.20899999999999999</v>
      </c>
      <c r="Y77" s="31" t="e">
        <f t="shared" si="49"/>
        <v>#DIV/0!</v>
      </c>
      <c r="Z77" s="31" t="e">
        <f t="shared" si="50"/>
        <v>#DIV/0!</v>
      </c>
      <c r="AA77" s="31" t="e">
        <f t="shared" si="51"/>
        <v>#DIV/0!</v>
      </c>
      <c r="AD77" s="26" t="e">
        <f t="shared" si="52"/>
        <v>#DIV/0!</v>
      </c>
      <c r="AE77" s="26" t="e">
        <f t="shared" si="53"/>
        <v>#DIV/0!</v>
      </c>
      <c r="AL77" s="26">
        <f t="shared" si="54"/>
        <v>0</v>
      </c>
      <c r="AM77" s="26" t="e">
        <f t="shared" si="55"/>
        <v>#DIV/0!</v>
      </c>
      <c r="AR77" s="26" t="e">
        <f t="shared" si="56"/>
        <v>#DIV/0!</v>
      </c>
      <c r="AS77" s="26" t="e">
        <f t="shared" si="57"/>
        <v>#DIV/0!</v>
      </c>
      <c r="AT77" s="26" t="e">
        <f t="shared" si="58"/>
        <v>#DIV/0!</v>
      </c>
      <c r="AU77" s="26" t="e">
        <f t="shared" si="59"/>
        <v>#DIV/0!</v>
      </c>
      <c r="AV77" s="72" t="e">
        <f t="shared" si="60"/>
        <v>#DIV/0!</v>
      </c>
      <c r="AW77" s="2">
        <v>0</v>
      </c>
      <c r="AX77" s="2">
        <v>0</v>
      </c>
      <c r="AZ77" s="2" t="e">
        <f t="shared" si="61"/>
        <v>#DIV/0!</v>
      </c>
      <c r="BA77" s="26" t="e">
        <f t="shared" si="62"/>
        <v>#DIV/0!</v>
      </c>
      <c r="BB77" s="72" t="e">
        <f t="shared" si="63"/>
        <v>#DIV/0!</v>
      </c>
    </row>
    <row r="78" spans="1:54" x14ac:dyDescent="0.2">
      <c r="A78" s="2" t="s">
        <v>170</v>
      </c>
      <c r="C78" s="2">
        <v>1</v>
      </c>
      <c r="E78" s="2" t="s">
        <v>502</v>
      </c>
      <c r="F78" s="2">
        <v>0</v>
      </c>
      <c r="G78" s="2">
        <v>1</v>
      </c>
      <c r="H78" s="2">
        <v>0</v>
      </c>
      <c r="I78" s="2">
        <v>0</v>
      </c>
      <c r="L78" s="25">
        <f t="shared" si="47"/>
        <v>0.18</v>
      </c>
      <c r="N78" s="26">
        <f t="shared" si="48"/>
        <v>0</v>
      </c>
      <c r="O78" s="26">
        <v>0.18</v>
      </c>
      <c r="Y78" s="31" t="e">
        <f t="shared" si="49"/>
        <v>#DIV/0!</v>
      </c>
      <c r="Z78" s="31" t="e">
        <f t="shared" si="50"/>
        <v>#DIV/0!</v>
      </c>
      <c r="AA78" s="31" t="e">
        <f t="shared" si="51"/>
        <v>#DIV/0!</v>
      </c>
      <c r="AD78" s="26" t="e">
        <f t="shared" si="52"/>
        <v>#DIV/0!</v>
      </c>
      <c r="AE78" s="26" t="e">
        <f t="shared" si="53"/>
        <v>#DIV/0!</v>
      </c>
      <c r="AL78" s="26">
        <f t="shared" si="54"/>
        <v>0</v>
      </c>
      <c r="AM78" s="26" t="e">
        <f t="shared" si="55"/>
        <v>#DIV/0!</v>
      </c>
      <c r="AR78" s="26" t="e">
        <f t="shared" si="56"/>
        <v>#DIV/0!</v>
      </c>
      <c r="AS78" s="26" t="e">
        <f t="shared" si="57"/>
        <v>#DIV/0!</v>
      </c>
      <c r="AT78" s="26" t="e">
        <f t="shared" si="58"/>
        <v>#DIV/0!</v>
      </c>
      <c r="AU78" s="26" t="e">
        <f t="shared" si="59"/>
        <v>#DIV/0!</v>
      </c>
      <c r="AV78" s="72" t="e">
        <f t="shared" si="60"/>
        <v>#DIV/0!</v>
      </c>
      <c r="AW78" s="2">
        <v>0</v>
      </c>
      <c r="AX78" s="2">
        <v>0</v>
      </c>
      <c r="AZ78" s="2" t="e">
        <f t="shared" si="61"/>
        <v>#DIV/0!</v>
      </c>
      <c r="BA78" s="26" t="e">
        <f t="shared" si="62"/>
        <v>#DIV/0!</v>
      </c>
      <c r="BB78" s="72" t="e">
        <f t="shared" si="63"/>
        <v>#DIV/0!</v>
      </c>
    </row>
    <row r="79" spans="1:54" x14ac:dyDescent="0.2">
      <c r="A79" s="2" t="s">
        <v>171</v>
      </c>
      <c r="C79" s="2">
        <v>1</v>
      </c>
      <c r="E79" s="2" t="s">
        <v>502</v>
      </c>
      <c r="F79" s="2">
        <v>0</v>
      </c>
      <c r="G79" s="2">
        <v>0</v>
      </c>
      <c r="H79" s="2">
        <v>0</v>
      </c>
      <c r="I79" s="2">
        <v>0</v>
      </c>
      <c r="L79" s="25">
        <f t="shared" si="47"/>
        <v>0.28599999999999998</v>
      </c>
      <c r="N79" s="26">
        <f t="shared" si="48"/>
        <v>0</v>
      </c>
      <c r="O79" s="26">
        <v>0.28599999999999998</v>
      </c>
      <c r="Y79" s="31" t="e">
        <f t="shared" si="49"/>
        <v>#DIV/0!</v>
      </c>
      <c r="Z79" s="31" t="e">
        <f t="shared" si="50"/>
        <v>#DIV/0!</v>
      </c>
      <c r="AA79" s="31" t="e">
        <f t="shared" si="51"/>
        <v>#DIV/0!</v>
      </c>
      <c r="AD79" s="26" t="e">
        <f t="shared" si="52"/>
        <v>#DIV/0!</v>
      </c>
      <c r="AE79" s="26" t="e">
        <f t="shared" si="53"/>
        <v>#DIV/0!</v>
      </c>
      <c r="AL79" s="26">
        <f t="shared" si="54"/>
        <v>0</v>
      </c>
      <c r="AM79" s="26" t="e">
        <f t="shared" si="55"/>
        <v>#DIV/0!</v>
      </c>
      <c r="AR79" s="26" t="e">
        <f t="shared" si="56"/>
        <v>#DIV/0!</v>
      </c>
      <c r="AS79" s="26" t="e">
        <f t="shared" si="57"/>
        <v>#DIV/0!</v>
      </c>
      <c r="AT79" s="26" t="e">
        <f t="shared" si="58"/>
        <v>#DIV/0!</v>
      </c>
      <c r="AU79" s="26" t="e">
        <f t="shared" si="59"/>
        <v>#DIV/0!</v>
      </c>
      <c r="AV79" s="72" t="e">
        <f t="shared" si="60"/>
        <v>#DIV/0!</v>
      </c>
      <c r="AW79" s="2">
        <v>0</v>
      </c>
      <c r="AX79" s="2">
        <v>0</v>
      </c>
      <c r="AZ79" s="2" t="e">
        <f t="shared" si="61"/>
        <v>#DIV/0!</v>
      </c>
      <c r="BA79" s="26" t="e">
        <f t="shared" si="62"/>
        <v>#DIV/0!</v>
      </c>
      <c r="BB79" s="72" t="e">
        <f t="shared" si="63"/>
        <v>#DIV/0!</v>
      </c>
    </row>
    <row r="80" spans="1:54" x14ac:dyDescent="0.2">
      <c r="A80" s="2" t="s">
        <v>172</v>
      </c>
      <c r="C80" s="2">
        <v>1</v>
      </c>
      <c r="E80" s="2" t="s">
        <v>502</v>
      </c>
      <c r="F80" s="2">
        <v>0</v>
      </c>
      <c r="G80" s="2">
        <v>1</v>
      </c>
      <c r="H80" s="2">
        <v>0</v>
      </c>
      <c r="I80" s="2">
        <v>0</v>
      </c>
      <c r="L80" s="25">
        <f t="shared" si="47"/>
        <v>0.81</v>
      </c>
      <c r="N80" s="26">
        <f t="shared" si="48"/>
        <v>0</v>
      </c>
      <c r="O80" s="26">
        <v>0.81</v>
      </c>
      <c r="Y80" s="31" t="e">
        <f t="shared" si="49"/>
        <v>#DIV/0!</v>
      </c>
      <c r="Z80" s="31" t="e">
        <f t="shared" si="50"/>
        <v>#DIV/0!</v>
      </c>
      <c r="AA80" s="31" t="e">
        <f t="shared" si="51"/>
        <v>#DIV/0!</v>
      </c>
      <c r="AD80" s="26" t="e">
        <f t="shared" si="52"/>
        <v>#DIV/0!</v>
      </c>
      <c r="AE80" s="26" t="e">
        <f t="shared" si="53"/>
        <v>#DIV/0!</v>
      </c>
      <c r="AL80" s="26">
        <f t="shared" si="54"/>
        <v>0</v>
      </c>
      <c r="AM80" s="26" t="e">
        <f t="shared" si="55"/>
        <v>#DIV/0!</v>
      </c>
      <c r="AR80" s="26" t="e">
        <f t="shared" si="56"/>
        <v>#DIV/0!</v>
      </c>
      <c r="AS80" s="26" t="e">
        <f t="shared" si="57"/>
        <v>#DIV/0!</v>
      </c>
      <c r="AT80" s="26" t="e">
        <f t="shared" si="58"/>
        <v>#DIV/0!</v>
      </c>
      <c r="AU80" s="26" t="e">
        <f t="shared" si="59"/>
        <v>#DIV/0!</v>
      </c>
      <c r="AV80" s="72" t="e">
        <f t="shared" si="60"/>
        <v>#DIV/0!</v>
      </c>
      <c r="AW80" s="2">
        <v>0</v>
      </c>
      <c r="AX80" s="2">
        <v>0</v>
      </c>
      <c r="AZ80" s="2" t="e">
        <f t="shared" si="61"/>
        <v>#DIV/0!</v>
      </c>
      <c r="BA80" s="26" t="e">
        <f t="shared" si="62"/>
        <v>#DIV/0!</v>
      </c>
      <c r="BB80" s="72" t="e">
        <f t="shared" si="63"/>
        <v>#DIV/0!</v>
      </c>
    </row>
    <row r="81" spans="1:54" x14ac:dyDescent="0.2">
      <c r="A81" s="2" t="s">
        <v>173</v>
      </c>
      <c r="C81" s="2">
        <v>1</v>
      </c>
      <c r="E81" s="2" t="s">
        <v>502</v>
      </c>
      <c r="F81" s="2">
        <v>0</v>
      </c>
      <c r="G81" s="2">
        <v>0</v>
      </c>
      <c r="H81" s="2">
        <v>0</v>
      </c>
      <c r="I81" s="2">
        <v>0</v>
      </c>
      <c r="L81" s="25">
        <f t="shared" si="47"/>
        <v>0.98899999999999999</v>
      </c>
      <c r="N81" s="26">
        <f t="shared" si="48"/>
        <v>0</v>
      </c>
      <c r="O81" s="26">
        <v>0.98899999999999999</v>
      </c>
      <c r="Y81" s="31" t="e">
        <f t="shared" si="49"/>
        <v>#DIV/0!</v>
      </c>
      <c r="Z81" s="31" t="e">
        <f t="shared" si="50"/>
        <v>#DIV/0!</v>
      </c>
      <c r="AA81" s="31" t="e">
        <f t="shared" si="51"/>
        <v>#DIV/0!</v>
      </c>
      <c r="AD81" s="26" t="e">
        <f t="shared" si="52"/>
        <v>#DIV/0!</v>
      </c>
      <c r="AE81" s="26" t="e">
        <f t="shared" si="53"/>
        <v>#DIV/0!</v>
      </c>
      <c r="AL81" s="26">
        <f t="shared" si="54"/>
        <v>0</v>
      </c>
      <c r="AM81" s="26" t="e">
        <f t="shared" si="55"/>
        <v>#DIV/0!</v>
      </c>
      <c r="AR81" s="26" t="e">
        <f t="shared" si="56"/>
        <v>#DIV/0!</v>
      </c>
      <c r="AS81" s="26" t="e">
        <f t="shared" si="57"/>
        <v>#DIV/0!</v>
      </c>
      <c r="AT81" s="26" t="e">
        <f t="shared" si="58"/>
        <v>#DIV/0!</v>
      </c>
      <c r="AU81" s="26" t="e">
        <f t="shared" si="59"/>
        <v>#DIV/0!</v>
      </c>
      <c r="AV81" s="72" t="e">
        <f t="shared" si="60"/>
        <v>#DIV/0!</v>
      </c>
      <c r="AW81" s="2">
        <v>0</v>
      </c>
      <c r="AX81" s="2">
        <v>0</v>
      </c>
      <c r="AZ81" s="2" t="e">
        <f t="shared" si="61"/>
        <v>#DIV/0!</v>
      </c>
      <c r="BA81" s="26" t="e">
        <f t="shared" si="62"/>
        <v>#DIV/0!</v>
      </c>
      <c r="BB81" s="72" t="e">
        <f t="shared" si="63"/>
        <v>#DIV/0!</v>
      </c>
    </row>
    <row r="82" spans="1:54" x14ac:dyDescent="0.2">
      <c r="A82" s="2" t="s">
        <v>174</v>
      </c>
      <c r="C82" s="2">
        <v>1</v>
      </c>
      <c r="E82" s="2" t="s">
        <v>502</v>
      </c>
      <c r="F82" s="2">
        <v>0</v>
      </c>
      <c r="G82" s="2">
        <v>0</v>
      </c>
      <c r="H82" s="2">
        <v>0</v>
      </c>
      <c r="I82" s="2">
        <v>0</v>
      </c>
      <c r="L82" s="25">
        <f t="shared" si="47"/>
        <v>2.5000000000000001E-2</v>
      </c>
      <c r="N82" s="26">
        <f t="shared" si="48"/>
        <v>0</v>
      </c>
      <c r="O82" s="26">
        <v>2.5000000000000001E-2</v>
      </c>
      <c r="Y82" s="31" t="e">
        <f t="shared" si="49"/>
        <v>#DIV/0!</v>
      </c>
      <c r="Z82" s="31" t="e">
        <f t="shared" si="50"/>
        <v>#DIV/0!</v>
      </c>
      <c r="AA82" s="31" t="e">
        <f t="shared" si="51"/>
        <v>#DIV/0!</v>
      </c>
      <c r="AD82" s="26" t="e">
        <f t="shared" si="52"/>
        <v>#DIV/0!</v>
      </c>
      <c r="AE82" s="26" t="e">
        <f t="shared" si="53"/>
        <v>#DIV/0!</v>
      </c>
      <c r="AL82" s="26">
        <f t="shared" si="54"/>
        <v>0</v>
      </c>
      <c r="AM82" s="26" t="e">
        <f t="shared" si="55"/>
        <v>#DIV/0!</v>
      </c>
      <c r="AR82" s="26" t="e">
        <f t="shared" si="56"/>
        <v>#DIV/0!</v>
      </c>
      <c r="AS82" s="26" t="e">
        <f t="shared" si="57"/>
        <v>#DIV/0!</v>
      </c>
      <c r="AT82" s="26" t="e">
        <f t="shared" si="58"/>
        <v>#DIV/0!</v>
      </c>
      <c r="AU82" s="26" t="e">
        <f t="shared" si="59"/>
        <v>#DIV/0!</v>
      </c>
      <c r="AV82" s="72" t="e">
        <f t="shared" si="60"/>
        <v>#DIV/0!</v>
      </c>
      <c r="AW82" s="2">
        <v>0</v>
      </c>
      <c r="AX82" s="2">
        <v>0</v>
      </c>
      <c r="AZ82" s="2" t="e">
        <f t="shared" si="61"/>
        <v>#DIV/0!</v>
      </c>
      <c r="BA82" s="26" t="e">
        <f t="shared" si="62"/>
        <v>#DIV/0!</v>
      </c>
      <c r="BB82" s="72" t="e">
        <f t="shared" si="63"/>
        <v>#DIV/0!</v>
      </c>
    </row>
    <row r="83" spans="1:54" x14ac:dyDescent="0.2">
      <c r="A83" s="2" t="s">
        <v>175</v>
      </c>
      <c r="C83" s="2">
        <v>1</v>
      </c>
      <c r="E83" s="2" t="s">
        <v>502</v>
      </c>
      <c r="F83" s="2">
        <v>0</v>
      </c>
      <c r="G83" s="2">
        <v>0</v>
      </c>
      <c r="H83" s="2">
        <v>0</v>
      </c>
      <c r="I83" s="2">
        <v>0</v>
      </c>
      <c r="L83" s="25">
        <f t="shared" si="47"/>
        <v>3.7999999999999999E-2</v>
      </c>
      <c r="N83" s="26">
        <f t="shared" si="48"/>
        <v>0</v>
      </c>
      <c r="O83" s="26">
        <v>3.7999999999999999E-2</v>
      </c>
      <c r="Y83" s="31" t="e">
        <f t="shared" si="49"/>
        <v>#DIV/0!</v>
      </c>
      <c r="Z83" s="31" t="e">
        <f t="shared" si="50"/>
        <v>#DIV/0!</v>
      </c>
      <c r="AA83" s="31" t="e">
        <f t="shared" si="51"/>
        <v>#DIV/0!</v>
      </c>
      <c r="AD83" s="26" t="e">
        <f t="shared" si="52"/>
        <v>#DIV/0!</v>
      </c>
      <c r="AE83" s="26" t="e">
        <f t="shared" si="53"/>
        <v>#DIV/0!</v>
      </c>
      <c r="AL83" s="26">
        <f t="shared" si="54"/>
        <v>0</v>
      </c>
      <c r="AM83" s="26" t="e">
        <f t="shared" si="55"/>
        <v>#DIV/0!</v>
      </c>
      <c r="AR83" s="26" t="e">
        <f t="shared" si="56"/>
        <v>#DIV/0!</v>
      </c>
      <c r="AS83" s="26" t="e">
        <f t="shared" si="57"/>
        <v>#DIV/0!</v>
      </c>
      <c r="AT83" s="26" t="e">
        <f t="shared" si="58"/>
        <v>#DIV/0!</v>
      </c>
      <c r="AU83" s="26" t="e">
        <f t="shared" si="59"/>
        <v>#DIV/0!</v>
      </c>
      <c r="AV83" s="72" t="e">
        <f t="shared" si="60"/>
        <v>#DIV/0!</v>
      </c>
      <c r="AW83" s="2">
        <v>0</v>
      </c>
      <c r="AX83" s="2">
        <v>0</v>
      </c>
      <c r="AZ83" s="2" t="e">
        <f t="shared" si="61"/>
        <v>#DIV/0!</v>
      </c>
      <c r="BA83" s="26" t="e">
        <f t="shared" si="62"/>
        <v>#DIV/0!</v>
      </c>
      <c r="BB83" s="72" t="e">
        <f t="shared" si="63"/>
        <v>#DIV/0!</v>
      </c>
    </row>
    <row r="84" spans="1:54" x14ac:dyDescent="0.2">
      <c r="A84" s="42" t="s">
        <v>176</v>
      </c>
      <c r="B84" s="42"/>
      <c r="C84" s="2">
        <v>1</v>
      </c>
      <c r="D84" s="42"/>
      <c r="E84" s="2" t="s">
        <v>502</v>
      </c>
      <c r="F84" s="2">
        <v>0</v>
      </c>
      <c r="G84" s="2">
        <v>0</v>
      </c>
      <c r="H84" s="2">
        <v>0</v>
      </c>
      <c r="I84" s="2">
        <v>0</v>
      </c>
      <c r="L84" s="25">
        <f t="shared" si="47"/>
        <v>4.4999999999999998E-2</v>
      </c>
      <c r="N84" s="26">
        <f t="shared" si="48"/>
        <v>0</v>
      </c>
      <c r="O84" s="26">
        <v>4.4999999999999998E-2</v>
      </c>
      <c r="Y84" s="31" t="e">
        <f t="shared" si="49"/>
        <v>#DIV/0!</v>
      </c>
      <c r="Z84" s="31" t="e">
        <f t="shared" si="50"/>
        <v>#DIV/0!</v>
      </c>
      <c r="AA84" s="31" t="e">
        <f t="shared" si="51"/>
        <v>#DIV/0!</v>
      </c>
      <c r="AD84" s="26" t="e">
        <f t="shared" si="52"/>
        <v>#DIV/0!</v>
      </c>
      <c r="AE84" s="26" t="e">
        <f t="shared" si="53"/>
        <v>#DIV/0!</v>
      </c>
      <c r="AL84" s="26">
        <f t="shared" si="54"/>
        <v>0</v>
      </c>
      <c r="AM84" s="26" t="e">
        <f t="shared" si="55"/>
        <v>#DIV/0!</v>
      </c>
      <c r="AR84" s="26" t="e">
        <f t="shared" si="56"/>
        <v>#DIV/0!</v>
      </c>
      <c r="AS84" s="26" t="e">
        <f t="shared" si="57"/>
        <v>#DIV/0!</v>
      </c>
      <c r="AT84" s="26" t="e">
        <f t="shared" si="58"/>
        <v>#DIV/0!</v>
      </c>
      <c r="AU84" s="26" t="e">
        <f t="shared" si="59"/>
        <v>#DIV/0!</v>
      </c>
      <c r="AV84" s="72" t="e">
        <f t="shared" si="60"/>
        <v>#DIV/0!</v>
      </c>
      <c r="AW84" s="2">
        <v>0</v>
      </c>
      <c r="AX84" s="2">
        <v>0</v>
      </c>
      <c r="AZ84" s="2" t="e">
        <f t="shared" si="61"/>
        <v>#DIV/0!</v>
      </c>
      <c r="BA84" s="26" t="e">
        <f t="shared" si="62"/>
        <v>#DIV/0!</v>
      </c>
      <c r="BB84" s="72" t="e">
        <f t="shared" si="63"/>
        <v>#DIV/0!</v>
      </c>
    </row>
    <row r="85" spans="1:54" x14ac:dyDescent="0.2">
      <c r="A85" s="2" t="s">
        <v>177</v>
      </c>
      <c r="C85" s="2">
        <v>1</v>
      </c>
      <c r="E85" s="2" t="s">
        <v>502</v>
      </c>
      <c r="F85" s="2">
        <v>0</v>
      </c>
      <c r="G85" s="2">
        <v>0</v>
      </c>
      <c r="H85" s="2">
        <v>0</v>
      </c>
      <c r="I85" s="2">
        <v>0</v>
      </c>
      <c r="L85" s="25">
        <f t="shared" si="47"/>
        <v>0.16400000000000001</v>
      </c>
      <c r="N85" s="26">
        <f t="shared" si="48"/>
        <v>0</v>
      </c>
      <c r="O85" s="26">
        <v>0.16400000000000001</v>
      </c>
      <c r="Y85" s="31" t="e">
        <f t="shared" si="49"/>
        <v>#DIV/0!</v>
      </c>
      <c r="Z85" s="31" t="e">
        <f t="shared" si="50"/>
        <v>#DIV/0!</v>
      </c>
      <c r="AA85" s="31" t="e">
        <f t="shared" si="51"/>
        <v>#DIV/0!</v>
      </c>
      <c r="AD85" s="26" t="e">
        <f t="shared" si="52"/>
        <v>#DIV/0!</v>
      </c>
      <c r="AE85" s="26" t="e">
        <f t="shared" si="53"/>
        <v>#DIV/0!</v>
      </c>
      <c r="AL85" s="26">
        <f t="shared" si="54"/>
        <v>0</v>
      </c>
      <c r="AM85" s="26" t="e">
        <f t="shared" si="55"/>
        <v>#DIV/0!</v>
      </c>
      <c r="AR85" s="26" t="e">
        <f t="shared" si="56"/>
        <v>#DIV/0!</v>
      </c>
      <c r="AS85" s="26" t="e">
        <f t="shared" si="57"/>
        <v>#DIV/0!</v>
      </c>
      <c r="AT85" s="26" t="e">
        <f t="shared" si="58"/>
        <v>#DIV/0!</v>
      </c>
      <c r="AU85" s="26" t="e">
        <f t="shared" si="59"/>
        <v>#DIV/0!</v>
      </c>
      <c r="AV85" s="72" t="e">
        <f t="shared" si="60"/>
        <v>#DIV/0!</v>
      </c>
      <c r="AW85" s="2">
        <v>0</v>
      </c>
      <c r="AX85" s="2">
        <v>0</v>
      </c>
      <c r="AZ85" s="2" t="e">
        <f t="shared" si="61"/>
        <v>#DIV/0!</v>
      </c>
      <c r="BA85" s="26" t="e">
        <f t="shared" si="62"/>
        <v>#DIV/0!</v>
      </c>
      <c r="BB85" s="72" t="e">
        <f t="shared" si="63"/>
        <v>#DIV/0!</v>
      </c>
    </row>
    <row r="86" spans="1:54" x14ac:dyDescent="0.2">
      <c r="A86" s="43" t="s">
        <v>178</v>
      </c>
      <c r="B86" s="43"/>
      <c r="C86" s="2">
        <v>1</v>
      </c>
      <c r="D86" s="43"/>
      <c r="E86" s="2" t="s">
        <v>502</v>
      </c>
      <c r="F86" s="2">
        <v>0</v>
      </c>
      <c r="G86" s="2">
        <v>0</v>
      </c>
      <c r="H86" s="2">
        <v>0</v>
      </c>
      <c r="I86" s="2">
        <v>0</v>
      </c>
      <c r="L86" s="25">
        <f t="shared" si="47"/>
        <v>0.74360000000000004</v>
      </c>
      <c r="N86" s="26">
        <f t="shared" si="48"/>
        <v>0</v>
      </c>
      <c r="O86" s="26">
        <v>0.74360000000000004</v>
      </c>
      <c r="Y86" s="31" t="e">
        <f t="shared" si="49"/>
        <v>#DIV/0!</v>
      </c>
      <c r="Z86" s="31" t="e">
        <f t="shared" si="50"/>
        <v>#DIV/0!</v>
      </c>
      <c r="AA86" s="31" t="e">
        <f t="shared" si="51"/>
        <v>#DIV/0!</v>
      </c>
      <c r="AD86" s="26" t="e">
        <f t="shared" si="52"/>
        <v>#DIV/0!</v>
      </c>
      <c r="AE86" s="26" t="e">
        <f t="shared" si="53"/>
        <v>#DIV/0!</v>
      </c>
      <c r="AL86" s="26">
        <f t="shared" si="54"/>
        <v>0</v>
      </c>
      <c r="AM86" s="26" t="e">
        <f t="shared" si="55"/>
        <v>#DIV/0!</v>
      </c>
      <c r="AR86" s="26" t="e">
        <f t="shared" si="56"/>
        <v>#DIV/0!</v>
      </c>
      <c r="AS86" s="26" t="e">
        <f t="shared" si="57"/>
        <v>#DIV/0!</v>
      </c>
      <c r="AT86" s="26" t="e">
        <f t="shared" si="58"/>
        <v>#DIV/0!</v>
      </c>
      <c r="AU86" s="26" t="e">
        <f t="shared" si="59"/>
        <v>#DIV/0!</v>
      </c>
      <c r="AV86" s="72" t="e">
        <f t="shared" si="60"/>
        <v>#DIV/0!</v>
      </c>
      <c r="AW86" s="2">
        <v>0</v>
      </c>
      <c r="AX86" s="2">
        <v>0</v>
      </c>
      <c r="AZ86" s="2" t="e">
        <f t="shared" si="61"/>
        <v>#DIV/0!</v>
      </c>
      <c r="BA86" s="26" t="e">
        <f t="shared" si="62"/>
        <v>#DIV/0!</v>
      </c>
      <c r="BB86" s="72" t="e">
        <f t="shared" si="63"/>
        <v>#DIV/0!</v>
      </c>
    </row>
    <row r="87" spans="1:54" x14ac:dyDescent="0.2">
      <c r="A87" s="2" t="s">
        <v>179</v>
      </c>
      <c r="C87" s="2">
        <v>1</v>
      </c>
      <c r="E87" s="2" t="s">
        <v>502</v>
      </c>
      <c r="F87" s="2">
        <v>0</v>
      </c>
      <c r="G87" s="2">
        <v>1</v>
      </c>
      <c r="H87" s="2">
        <v>0</v>
      </c>
      <c r="I87" s="2">
        <v>0</v>
      </c>
      <c r="L87" s="25">
        <f t="shared" si="47"/>
        <v>4.9000000000000002E-2</v>
      </c>
      <c r="N87" s="26">
        <f t="shared" si="48"/>
        <v>0</v>
      </c>
      <c r="O87" s="26">
        <v>4.9000000000000002E-2</v>
      </c>
      <c r="Y87" s="31" t="e">
        <f t="shared" si="49"/>
        <v>#DIV/0!</v>
      </c>
      <c r="Z87" s="31" t="e">
        <f t="shared" si="50"/>
        <v>#DIV/0!</v>
      </c>
      <c r="AA87" s="31" t="e">
        <f t="shared" si="51"/>
        <v>#DIV/0!</v>
      </c>
      <c r="AD87" s="26" t="e">
        <f t="shared" si="52"/>
        <v>#DIV/0!</v>
      </c>
      <c r="AE87" s="26" t="e">
        <f t="shared" si="53"/>
        <v>#DIV/0!</v>
      </c>
      <c r="AL87" s="26">
        <f t="shared" si="54"/>
        <v>0</v>
      </c>
      <c r="AM87" s="26" t="e">
        <f t="shared" si="55"/>
        <v>#DIV/0!</v>
      </c>
      <c r="AR87" s="26" t="e">
        <f t="shared" si="56"/>
        <v>#DIV/0!</v>
      </c>
      <c r="AS87" s="26" t="e">
        <f t="shared" si="57"/>
        <v>#DIV/0!</v>
      </c>
      <c r="AT87" s="26" t="e">
        <f t="shared" si="58"/>
        <v>#DIV/0!</v>
      </c>
      <c r="AU87" s="26" t="e">
        <f t="shared" si="59"/>
        <v>#DIV/0!</v>
      </c>
      <c r="AV87" s="72" t="e">
        <f t="shared" si="60"/>
        <v>#DIV/0!</v>
      </c>
      <c r="AW87" s="2">
        <v>0</v>
      </c>
      <c r="AX87" s="2">
        <v>0</v>
      </c>
      <c r="AZ87" s="2" t="e">
        <f t="shared" si="61"/>
        <v>#DIV/0!</v>
      </c>
      <c r="BA87" s="26" t="e">
        <f t="shared" si="62"/>
        <v>#DIV/0!</v>
      </c>
      <c r="BB87" s="72" t="e">
        <f t="shared" si="63"/>
        <v>#DIV/0!</v>
      </c>
    </row>
    <row r="88" spans="1:54" x14ac:dyDescent="0.2">
      <c r="A88" s="2" t="s">
        <v>181</v>
      </c>
      <c r="C88" s="2">
        <v>1</v>
      </c>
      <c r="E88" s="2" t="s">
        <v>502</v>
      </c>
      <c r="F88" s="2">
        <v>0</v>
      </c>
      <c r="G88" s="2">
        <v>0</v>
      </c>
      <c r="H88" s="2">
        <v>0</v>
      </c>
      <c r="I88" s="2">
        <v>0</v>
      </c>
      <c r="L88" s="25">
        <f t="shared" si="47"/>
        <v>0.05</v>
      </c>
      <c r="N88" s="26">
        <f t="shared" si="48"/>
        <v>0</v>
      </c>
      <c r="O88" s="26">
        <v>0.05</v>
      </c>
      <c r="Y88" s="31" t="e">
        <f t="shared" si="49"/>
        <v>#DIV/0!</v>
      </c>
      <c r="Z88" s="31" t="e">
        <f t="shared" si="50"/>
        <v>#DIV/0!</v>
      </c>
      <c r="AA88" s="31" t="e">
        <f t="shared" si="51"/>
        <v>#DIV/0!</v>
      </c>
      <c r="AD88" s="26" t="e">
        <f t="shared" si="52"/>
        <v>#DIV/0!</v>
      </c>
      <c r="AE88" s="26" t="e">
        <f t="shared" si="53"/>
        <v>#DIV/0!</v>
      </c>
      <c r="AL88" s="26">
        <f t="shared" si="54"/>
        <v>0</v>
      </c>
      <c r="AM88" s="26" t="e">
        <f t="shared" si="55"/>
        <v>#DIV/0!</v>
      </c>
      <c r="AR88" s="26" t="e">
        <f t="shared" si="56"/>
        <v>#DIV/0!</v>
      </c>
      <c r="AS88" s="26" t="e">
        <f t="shared" si="57"/>
        <v>#DIV/0!</v>
      </c>
      <c r="AT88" s="26" t="e">
        <f t="shared" ref="AT88:AT93" si="64">AO88*AA88</f>
        <v>#DIV/0!</v>
      </c>
      <c r="AU88" s="26" t="e">
        <f t="shared" si="59"/>
        <v>#DIV/0!</v>
      </c>
      <c r="AV88" s="72" t="e">
        <f t="shared" si="60"/>
        <v>#DIV/0!</v>
      </c>
      <c r="AW88" s="2">
        <v>0</v>
      </c>
      <c r="AX88" s="2">
        <v>0</v>
      </c>
      <c r="AZ88" s="2" t="e">
        <f t="shared" si="61"/>
        <v>#DIV/0!</v>
      </c>
      <c r="BA88" s="26" t="e">
        <f t="shared" si="62"/>
        <v>#DIV/0!</v>
      </c>
      <c r="BB88" s="72" t="e">
        <f t="shared" si="63"/>
        <v>#DIV/0!</v>
      </c>
    </row>
    <row r="89" spans="1:54" x14ac:dyDescent="0.2">
      <c r="A89" s="2" t="s">
        <v>182</v>
      </c>
      <c r="C89" s="2">
        <v>1</v>
      </c>
      <c r="E89" s="2" t="s">
        <v>502</v>
      </c>
      <c r="F89" s="2">
        <v>0</v>
      </c>
      <c r="G89" s="2">
        <v>1</v>
      </c>
      <c r="H89" s="2">
        <v>0</v>
      </c>
      <c r="I89" s="2">
        <v>0</v>
      </c>
      <c r="L89" s="25">
        <f t="shared" si="47"/>
        <v>0.2</v>
      </c>
      <c r="N89" s="26">
        <f t="shared" si="48"/>
        <v>0</v>
      </c>
      <c r="O89" s="26">
        <v>0.2</v>
      </c>
      <c r="Y89" s="31" t="e">
        <f t="shared" si="49"/>
        <v>#DIV/0!</v>
      </c>
      <c r="Z89" s="31" t="e">
        <f t="shared" si="50"/>
        <v>#DIV/0!</v>
      </c>
      <c r="AA89" s="31" t="e">
        <f t="shared" si="51"/>
        <v>#DIV/0!</v>
      </c>
      <c r="AD89" s="26" t="e">
        <f t="shared" si="52"/>
        <v>#DIV/0!</v>
      </c>
      <c r="AE89" s="26" t="e">
        <f t="shared" si="53"/>
        <v>#DIV/0!</v>
      </c>
      <c r="AL89" s="26">
        <f t="shared" si="54"/>
        <v>0</v>
      </c>
      <c r="AM89" s="26" t="e">
        <f t="shared" si="55"/>
        <v>#DIV/0!</v>
      </c>
      <c r="AR89" s="26" t="e">
        <f t="shared" si="56"/>
        <v>#DIV/0!</v>
      </c>
      <c r="AS89" s="26" t="e">
        <f t="shared" si="57"/>
        <v>#DIV/0!</v>
      </c>
      <c r="AT89" s="26" t="e">
        <f t="shared" si="64"/>
        <v>#DIV/0!</v>
      </c>
      <c r="AU89" s="26" t="e">
        <f t="shared" si="59"/>
        <v>#DIV/0!</v>
      </c>
      <c r="AV89" s="72" t="e">
        <f t="shared" si="60"/>
        <v>#DIV/0!</v>
      </c>
      <c r="AW89" s="2">
        <v>0</v>
      </c>
      <c r="AX89" s="2">
        <v>0</v>
      </c>
      <c r="AZ89" s="2" t="e">
        <f t="shared" si="61"/>
        <v>#DIV/0!</v>
      </c>
      <c r="BA89" s="26" t="e">
        <f t="shared" si="62"/>
        <v>#DIV/0!</v>
      </c>
      <c r="BB89" s="72" t="e">
        <f t="shared" si="63"/>
        <v>#DIV/0!</v>
      </c>
    </row>
    <row r="90" spans="1:54" x14ac:dyDescent="0.2">
      <c r="A90" s="2" t="s">
        <v>183</v>
      </c>
      <c r="C90" s="2">
        <v>1</v>
      </c>
      <c r="E90" s="2" t="s">
        <v>502</v>
      </c>
      <c r="F90" s="2">
        <v>0</v>
      </c>
      <c r="G90" s="2">
        <v>0</v>
      </c>
      <c r="H90" s="2">
        <v>0</v>
      </c>
      <c r="I90" s="2">
        <v>0</v>
      </c>
      <c r="L90" s="25">
        <f t="shared" si="47"/>
        <v>0.16</v>
      </c>
      <c r="N90" s="26">
        <f t="shared" si="48"/>
        <v>0</v>
      </c>
      <c r="O90" s="26">
        <v>0.16</v>
      </c>
      <c r="Y90" s="31" t="e">
        <f t="shared" si="49"/>
        <v>#DIV/0!</v>
      </c>
      <c r="Z90" s="31" t="e">
        <f t="shared" si="50"/>
        <v>#DIV/0!</v>
      </c>
      <c r="AA90" s="31" t="e">
        <f t="shared" si="51"/>
        <v>#DIV/0!</v>
      </c>
      <c r="AD90" s="26" t="e">
        <f t="shared" si="52"/>
        <v>#DIV/0!</v>
      </c>
      <c r="AE90" s="26" t="e">
        <f t="shared" si="53"/>
        <v>#DIV/0!</v>
      </c>
      <c r="AL90" s="26">
        <f t="shared" si="54"/>
        <v>0</v>
      </c>
      <c r="AM90" s="26" t="e">
        <f t="shared" si="55"/>
        <v>#DIV/0!</v>
      </c>
      <c r="AR90" s="26" t="e">
        <f t="shared" si="56"/>
        <v>#DIV/0!</v>
      </c>
      <c r="AS90" s="26" t="e">
        <f t="shared" si="57"/>
        <v>#DIV/0!</v>
      </c>
      <c r="AT90" s="26" t="e">
        <f t="shared" si="64"/>
        <v>#DIV/0!</v>
      </c>
      <c r="AU90" s="26" t="e">
        <f t="shared" si="59"/>
        <v>#DIV/0!</v>
      </c>
      <c r="AV90" s="72" t="e">
        <f t="shared" si="60"/>
        <v>#DIV/0!</v>
      </c>
      <c r="AW90" s="2">
        <v>0</v>
      </c>
      <c r="AX90" s="2">
        <v>0</v>
      </c>
      <c r="AZ90" s="2" t="e">
        <f t="shared" si="61"/>
        <v>#DIV/0!</v>
      </c>
      <c r="BA90" s="26" t="e">
        <f t="shared" si="62"/>
        <v>#DIV/0!</v>
      </c>
      <c r="BB90" s="72" t="e">
        <f t="shared" si="63"/>
        <v>#DIV/0!</v>
      </c>
    </row>
    <row r="91" spans="1:54" x14ac:dyDescent="0.2">
      <c r="A91" s="2" t="s">
        <v>184</v>
      </c>
      <c r="C91" s="2">
        <v>1</v>
      </c>
      <c r="E91" s="2" t="s">
        <v>502</v>
      </c>
      <c r="F91" s="2">
        <v>0</v>
      </c>
      <c r="G91" s="2">
        <v>0</v>
      </c>
      <c r="H91" s="2">
        <v>0</v>
      </c>
      <c r="I91" s="2">
        <v>0</v>
      </c>
      <c r="L91" s="25">
        <f t="shared" si="47"/>
        <v>0.22900000000000001</v>
      </c>
      <c r="N91" s="26">
        <f t="shared" si="48"/>
        <v>0</v>
      </c>
      <c r="O91" s="26">
        <v>0.22900000000000001</v>
      </c>
      <c r="Y91" s="31" t="e">
        <f t="shared" si="49"/>
        <v>#DIV/0!</v>
      </c>
      <c r="Z91" s="31" t="e">
        <f t="shared" si="50"/>
        <v>#DIV/0!</v>
      </c>
      <c r="AA91" s="31" t="e">
        <f t="shared" si="51"/>
        <v>#DIV/0!</v>
      </c>
      <c r="AD91" s="26" t="e">
        <f t="shared" si="52"/>
        <v>#DIV/0!</v>
      </c>
      <c r="AE91" s="26" t="e">
        <f t="shared" si="53"/>
        <v>#DIV/0!</v>
      </c>
      <c r="AL91" s="26">
        <f t="shared" si="54"/>
        <v>0</v>
      </c>
      <c r="AM91" s="26" t="e">
        <f t="shared" si="55"/>
        <v>#DIV/0!</v>
      </c>
      <c r="AR91" s="26" t="e">
        <f t="shared" si="56"/>
        <v>#DIV/0!</v>
      </c>
      <c r="AS91" s="26" t="e">
        <f t="shared" si="57"/>
        <v>#DIV/0!</v>
      </c>
      <c r="AT91" s="26" t="e">
        <f t="shared" si="64"/>
        <v>#DIV/0!</v>
      </c>
      <c r="AU91" s="26" t="e">
        <f t="shared" si="59"/>
        <v>#DIV/0!</v>
      </c>
      <c r="AV91" s="72" t="e">
        <f t="shared" si="60"/>
        <v>#DIV/0!</v>
      </c>
      <c r="AW91" s="2">
        <v>0</v>
      </c>
      <c r="AX91" s="2">
        <v>0</v>
      </c>
      <c r="AZ91" s="2" t="e">
        <f t="shared" si="61"/>
        <v>#DIV/0!</v>
      </c>
      <c r="BA91" s="26" t="e">
        <f t="shared" si="62"/>
        <v>#DIV/0!</v>
      </c>
      <c r="BB91" s="72" t="e">
        <f t="shared" si="63"/>
        <v>#DIV/0!</v>
      </c>
    </row>
    <row r="92" spans="1:54" x14ac:dyDescent="0.2">
      <c r="A92" s="2" t="s">
        <v>185</v>
      </c>
      <c r="C92" s="2">
        <v>1</v>
      </c>
      <c r="E92" s="2" t="s">
        <v>502</v>
      </c>
      <c r="F92" s="2">
        <v>0</v>
      </c>
      <c r="G92" s="2">
        <v>0</v>
      </c>
      <c r="H92" s="2">
        <v>0</v>
      </c>
      <c r="I92" s="2">
        <v>0</v>
      </c>
      <c r="L92" s="25">
        <f t="shared" si="47"/>
        <v>0.45700000000000002</v>
      </c>
      <c r="N92" s="26">
        <f t="shared" si="48"/>
        <v>0</v>
      </c>
      <c r="O92" s="26">
        <v>0.45700000000000002</v>
      </c>
      <c r="Y92" s="31" t="e">
        <f t="shared" si="49"/>
        <v>#DIV/0!</v>
      </c>
      <c r="Z92" s="31" t="e">
        <f t="shared" si="50"/>
        <v>#DIV/0!</v>
      </c>
      <c r="AA92" s="31" t="e">
        <f t="shared" si="51"/>
        <v>#DIV/0!</v>
      </c>
      <c r="AD92" s="26" t="e">
        <f t="shared" si="52"/>
        <v>#DIV/0!</v>
      </c>
      <c r="AE92" s="26" t="e">
        <f t="shared" si="53"/>
        <v>#DIV/0!</v>
      </c>
      <c r="AL92" s="26">
        <f t="shared" si="54"/>
        <v>0</v>
      </c>
      <c r="AM92" s="26" t="e">
        <f t="shared" si="55"/>
        <v>#DIV/0!</v>
      </c>
      <c r="AR92" s="26" t="e">
        <f t="shared" si="56"/>
        <v>#DIV/0!</v>
      </c>
      <c r="AS92" s="26" t="e">
        <f t="shared" si="57"/>
        <v>#DIV/0!</v>
      </c>
      <c r="AT92" s="26" t="e">
        <f t="shared" si="64"/>
        <v>#DIV/0!</v>
      </c>
      <c r="AU92" s="26" t="e">
        <f t="shared" si="59"/>
        <v>#DIV/0!</v>
      </c>
      <c r="AV92" s="72" t="e">
        <f t="shared" si="60"/>
        <v>#DIV/0!</v>
      </c>
      <c r="AW92" s="2">
        <v>0</v>
      </c>
      <c r="AX92" s="2">
        <v>0</v>
      </c>
      <c r="AZ92" s="2" t="e">
        <f t="shared" si="61"/>
        <v>#DIV/0!</v>
      </c>
      <c r="BA92" s="26" t="e">
        <f t="shared" si="62"/>
        <v>#DIV/0!</v>
      </c>
      <c r="BB92" s="72" t="e">
        <f t="shared" si="63"/>
        <v>#DIV/0!</v>
      </c>
    </row>
    <row r="93" spans="1:54" x14ac:dyDescent="0.2">
      <c r="A93" s="2" t="s">
        <v>186</v>
      </c>
      <c r="C93" s="2">
        <v>1</v>
      </c>
      <c r="E93" s="2" t="s">
        <v>502</v>
      </c>
      <c r="F93" s="2">
        <v>0</v>
      </c>
      <c r="G93" s="2">
        <v>0</v>
      </c>
      <c r="H93" s="2">
        <v>0</v>
      </c>
      <c r="I93" s="2">
        <v>0</v>
      </c>
      <c r="L93" s="25">
        <f t="shared" si="47"/>
        <v>0.23300000000000001</v>
      </c>
      <c r="N93" s="26">
        <f t="shared" si="48"/>
        <v>0</v>
      </c>
      <c r="O93" s="26">
        <v>0.23300000000000001</v>
      </c>
      <c r="Y93" s="31" t="e">
        <f t="shared" si="49"/>
        <v>#DIV/0!</v>
      </c>
      <c r="Z93" s="31" t="e">
        <f t="shared" si="50"/>
        <v>#DIV/0!</v>
      </c>
      <c r="AA93" s="31" t="e">
        <f t="shared" si="51"/>
        <v>#DIV/0!</v>
      </c>
      <c r="AD93" s="26" t="e">
        <f t="shared" si="52"/>
        <v>#DIV/0!</v>
      </c>
      <c r="AE93" s="26" t="e">
        <f t="shared" si="53"/>
        <v>#DIV/0!</v>
      </c>
      <c r="AL93" s="26">
        <f t="shared" si="54"/>
        <v>0</v>
      </c>
      <c r="AM93" s="26" t="e">
        <f t="shared" si="55"/>
        <v>#DIV/0!</v>
      </c>
      <c r="AR93" s="26" t="e">
        <f t="shared" si="56"/>
        <v>#DIV/0!</v>
      </c>
      <c r="AS93" s="26" t="e">
        <f t="shared" si="57"/>
        <v>#DIV/0!</v>
      </c>
      <c r="AT93" s="26" t="e">
        <f t="shared" si="64"/>
        <v>#DIV/0!</v>
      </c>
      <c r="AU93" s="26" t="e">
        <f t="shared" si="59"/>
        <v>#DIV/0!</v>
      </c>
      <c r="AV93" s="72" t="e">
        <f t="shared" si="60"/>
        <v>#DIV/0!</v>
      </c>
      <c r="AW93" s="2">
        <v>0</v>
      </c>
      <c r="AX93" s="2">
        <v>0</v>
      </c>
      <c r="AZ93" s="2" t="e">
        <f t="shared" si="61"/>
        <v>#DIV/0!</v>
      </c>
      <c r="BA93" s="26" t="e">
        <f t="shared" si="62"/>
        <v>#DIV/0!</v>
      </c>
      <c r="BB93" s="72" t="e">
        <f t="shared" si="63"/>
        <v>#DIV/0!</v>
      </c>
    </row>
    <row r="94" spans="1:54" x14ac:dyDescent="0.2">
      <c r="A94" s="2" t="s">
        <v>63</v>
      </c>
      <c r="C94" s="2">
        <v>1</v>
      </c>
      <c r="E94" s="2" t="s">
        <v>502</v>
      </c>
      <c r="F94" s="2">
        <v>0</v>
      </c>
      <c r="G94" s="2">
        <v>0</v>
      </c>
      <c r="H94" s="2">
        <v>1</v>
      </c>
      <c r="I94" s="2">
        <v>0</v>
      </c>
      <c r="L94" s="25">
        <f t="shared" si="47"/>
        <v>0.76400000000000001</v>
      </c>
      <c r="N94" s="26">
        <f t="shared" si="48"/>
        <v>0</v>
      </c>
      <c r="P94" s="26">
        <v>0.76400000000000001</v>
      </c>
      <c r="Y94" s="31" t="e">
        <f t="shared" si="49"/>
        <v>#DIV/0!</v>
      </c>
      <c r="Z94" s="31" t="e">
        <f t="shared" si="50"/>
        <v>#DIV/0!</v>
      </c>
      <c r="AA94" s="31" t="e">
        <f t="shared" si="51"/>
        <v>#DIV/0!</v>
      </c>
      <c r="AD94" s="26" t="e">
        <f t="shared" si="52"/>
        <v>#DIV/0!</v>
      </c>
      <c r="AE94" s="26" t="e">
        <f t="shared" si="53"/>
        <v>#DIV/0!</v>
      </c>
      <c r="AL94" s="26">
        <f t="shared" si="54"/>
        <v>0</v>
      </c>
      <c r="AM94" s="26" t="e">
        <f t="shared" si="55"/>
        <v>#DIV/0!</v>
      </c>
      <c r="AR94" s="26" t="e">
        <f t="shared" si="56"/>
        <v>#DIV/0!</v>
      </c>
      <c r="AS94" s="26" t="e">
        <f t="shared" si="57"/>
        <v>#DIV/0!</v>
      </c>
      <c r="AT94" s="26" t="e">
        <f t="shared" ref="AT94:AT115" si="65">AO94*Z94</f>
        <v>#DIV/0!</v>
      </c>
      <c r="AU94" s="26" t="e">
        <f t="shared" si="59"/>
        <v>#DIV/0!</v>
      </c>
      <c r="AV94" s="72" t="e">
        <f t="shared" si="60"/>
        <v>#DIV/0!</v>
      </c>
      <c r="AW94" s="2">
        <v>0</v>
      </c>
      <c r="AX94" s="2">
        <v>0</v>
      </c>
      <c r="AZ94" s="2" t="e">
        <f t="shared" si="61"/>
        <v>#DIV/0!</v>
      </c>
      <c r="BA94" s="26" t="e">
        <f t="shared" si="62"/>
        <v>#DIV/0!</v>
      </c>
      <c r="BB94" s="72" t="e">
        <f t="shared" si="63"/>
        <v>#DIV/0!</v>
      </c>
    </row>
    <row r="95" spans="1:54" x14ac:dyDescent="0.2">
      <c r="A95" s="2" t="s">
        <v>64</v>
      </c>
      <c r="C95" s="2">
        <v>1</v>
      </c>
      <c r="E95" s="2" t="s">
        <v>502</v>
      </c>
      <c r="F95" s="2">
        <v>0</v>
      </c>
      <c r="G95" s="2">
        <v>0</v>
      </c>
      <c r="H95" s="2">
        <v>0</v>
      </c>
      <c r="I95" s="2">
        <v>0</v>
      </c>
      <c r="J95" s="25">
        <v>13.366431</v>
      </c>
      <c r="L95" s="25">
        <f t="shared" si="47"/>
        <v>0.70582699999999998</v>
      </c>
      <c r="N95" s="26">
        <f t="shared" si="48"/>
        <v>0</v>
      </c>
      <c r="P95" s="26">
        <f>0.25+0.455827</f>
        <v>0.70582699999999998</v>
      </c>
      <c r="Y95" s="31">
        <f t="shared" si="49"/>
        <v>5.2805943486335279E-2</v>
      </c>
      <c r="Z95" s="31">
        <f t="shared" si="50"/>
        <v>5.2805943486335279E-2</v>
      </c>
      <c r="AA95" s="31">
        <f t="shared" si="51"/>
        <v>1</v>
      </c>
      <c r="AB95" s="35">
        <v>8</v>
      </c>
      <c r="AC95" s="26">
        <v>8</v>
      </c>
      <c r="AD95" s="26">
        <f t="shared" si="52"/>
        <v>0.42244754789068223</v>
      </c>
      <c r="AE95" s="26">
        <f t="shared" si="53"/>
        <v>0.42244754789068223</v>
      </c>
      <c r="AF95" s="26">
        <f>4/AB95</f>
        <v>0.5</v>
      </c>
      <c r="AG95" s="26">
        <v>3.3205559999999998</v>
      </c>
      <c r="AH95" s="26">
        <v>1.0433190000000001</v>
      </c>
      <c r="AL95" s="26">
        <f t="shared" si="54"/>
        <v>4.3638750000000002</v>
      </c>
      <c r="AM95" s="26">
        <f t="shared" si="55"/>
        <v>0.23043853663143138</v>
      </c>
      <c r="AR95" s="26">
        <f t="shared" si="56"/>
        <v>0.23043853663143138</v>
      </c>
      <c r="AS95" s="26">
        <f t="shared" si="57"/>
        <v>0</v>
      </c>
      <c r="AT95" s="26">
        <f t="shared" si="65"/>
        <v>0</v>
      </c>
      <c r="AU95" s="26">
        <f t="shared" si="59"/>
        <v>0.23043853663143138</v>
      </c>
      <c r="AV95" s="72">
        <f t="shared" si="60"/>
        <v>0.32648019504982295</v>
      </c>
      <c r="AW95" s="2">
        <v>0</v>
      </c>
      <c r="AX95" s="2">
        <v>0</v>
      </c>
      <c r="AZ95" s="2">
        <f t="shared" si="61"/>
        <v>0.23043853663143138</v>
      </c>
      <c r="BA95" s="26">
        <f t="shared" si="62"/>
        <v>0.23043853663143138</v>
      </c>
      <c r="BB95" s="72">
        <f t="shared" si="63"/>
        <v>0.32648019504982295</v>
      </c>
    </row>
    <row r="96" spans="1:54" x14ac:dyDescent="0.2">
      <c r="A96" s="2" t="s">
        <v>192</v>
      </c>
      <c r="C96" s="2">
        <v>1</v>
      </c>
      <c r="E96" s="2" t="s">
        <v>502</v>
      </c>
      <c r="F96" s="2">
        <v>0</v>
      </c>
      <c r="G96" s="2">
        <v>1</v>
      </c>
      <c r="H96" s="2">
        <v>0</v>
      </c>
      <c r="I96" s="2">
        <v>0</v>
      </c>
      <c r="L96" s="25">
        <f t="shared" si="47"/>
        <v>0.19600000000000001</v>
      </c>
      <c r="N96" s="26">
        <f t="shared" si="48"/>
        <v>0</v>
      </c>
      <c r="O96" s="26">
        <v>0.19600000000000001</v>
      </c>
      <c r="Y96" s="31" t="e">
        <f t="shared" si="49"/>
        <v>#DIV/0!</v>
      </c>
      <c r="Z96" s="31" t="e">
        <f t="shared" si="50"/>
        <v>#DIV/0!</v>
      </c>
      <c r="AA96" s="31" t="e">
        <f t="shared" si="51"/>
        <v>#DIV/0!</v>
      </c>
      <c r="AD96" s="26" t="e">
        <f t="shared" si="52"/>
        <v>#DIV/0!</v>
      </c>
      <c r="AE96" s="26" t="e">
        <f t="shared" si="53"/>
        <v>#DIV/0!</v>
      </c>
      <c r="AL96" s="26">
        <f t="shared" si="54"/>
        <v>0</v>
      </c>
      <c r="AM96" s="26" t="e">
        <f t="shared" si="55"/>
        <v>#DIV/0!</v>
      </c>
      <c r="AR96" s="26" t="e">
        <f t="shared" si="56"/>
        <v>#DIV/0!</v>
      </c>
      <c r="AS96" s="26" t="e">
        <f t="shared" si="57"/>
        <v>#DIV/0!</v>
      </c>
      <c r="AT96" s="26" t="e">
        <f t="shared" si="65"/>
        <v>#DIV/0!</v>
      </c>
      <c r="AU96" s="26" t="e">
        <f t="shared" si="59"/>
        <v>#DIV/0!</v>
      </c>
      <c r="AV96" s="72" t="e">
        <f t="shared" si="60"/>
        <v>#DIV/0!</v>
      </c>
      <c r="AW96" s="2">
        <v>0</v>
      </c>
      <c r="AX96" s="2">
        <v>0</v>
      </c>
      <c r="AZ96" s="2" t="e">
        <f t="shared" si="61"/>
        <v>#DIV/0!</v>
      </c>
      <c r="BA96" s="26" t="e">
        <f t="shared" si="62"/>
        <v>#DIV/0!</v>
      </c>
      <c r="BB96" s="72" t="e">
        <f t="shared" si="63"/>
        <v>#DIV/0!</v>
      </c>
    </row>
    <row r="97" spans="1:54" x14ac:dyDescent="0.2">
      <c r="A97" s="2" t="s">
        <v>193</v>
      </c>
      <c r="C97" s="2">
        <v>1</v>
      </c>
      <c r="E97" s="2" t="s">
        <v>502</v>
      </c>
      <c r="F97" s="2">
        <v>0</v>
      </c>
      <c r="G97" s="2">
        <v>0</v>
      </c>
      <c r="H97" s="2">
        <v>0</v>
      </c>
      <c r="I97" s="2">
        <v>0</v>
      </c>
      <c r="L97" s="25">
        <f t="shared" si="47"/>
        <v>0.32700000000000001</v>
      </c>
      <c r="N97" s="26">
        <f t="shared" si="48"/>
        <v>0</v>
      </c>
      <c r="O97" s="26">
        <v>0.32700000000000001</v>
      </c>
      <c r="Y97" s="31" t="e">
        <f t="shared" si="49"/>
        <v>#DIV/0!</v>
      </c>
      <c r="Z97" s="31" t="e">
        <f t="shared" si="50"/>
        <v>#DIV/0!</v>
      </c>
      <c r="AA97" s="31" t="e">
        <f t="shared" si="51"/>
        <v>#DIV/0!</v>
      </c>
      <c r="AD97" s="26" t="e">
        <f t="shared" si="52"/>
        <v>#DIV/0!</v>
      </c>
      <c r="AE97" s="26" t="e">
        <f t="shared" si="53"/>
        <v>#DIV/0!</v>
      </c>
      <c r="AL97" s="26">
        <f t="shared" si="54"/>
        <v>0</v>
      </c>
      <c r="AM97" s="26" t="e">
        <f t="shared" si="55"/>
        <v>#DIV/0!</v>
      </c>
      <c r="AR97" s="26" t="e">
        <f t="shared" si="56"/>
        <v>#DIV/0!</v>
      </c>
      <c r="AS97" s="26" t="e">
        <f t="shared" si="57"/>
        <v>#DIV/0!</v>
      </c>
      <c r="AT97" s="26" t="e">
        <f t="shared" si="65"/>
        <v>#DIV/0!</v>
      </c>
      <c r="AU97" s="26" t="e">
        <f t="shared" si="59"/>
        <v>#DIV/0!</v>
      </c>
      <c r="AV97" s="72" t="e">
        <f t="shared" si="60"/>
        <v>#DIV/0!</v>
      </c>
      <c r="AW97" s="2">
        <v>0</v>
      </c>
      <c r="AX97" s="2">
        <v>0</v>
      </c>
      <c r="AZ97" s="2" t="e">
        <f t="shared" si="61"/>
        <v>#DIV/0!</v>
      </c>
      <c r="BA97" s="26" t="e">
        <f t="shared" si="62"/>
        <v>#DIV/0!</v>
      </c>
      <c r="BB97" s="72" t="e">
        <f t="shared" si="63"/>
        <v>#DIV/0!</v>
      </c>
    </row>
    <row r="98" spans="1:54" x14ac:dyDescent="0.2">
      <c r="A98" s="42" t="s">
        <v>194</v>
      </c>
      <c r="B98" s="42"/>
      <c r="C98" s="2">
        <v>1</v>
      </c>
      <c r="D98" s="42"/>
      <c r="E98" s="2" t="s">
        <v>502</v>
      </c>
      <c r="F98" s="2">
        <v>0</v>
      </c>
      <c r="G98" s="2">
        <v>1</v>
      </c>
      <c r="H98" s="2">
        <v>0</v>
      </c>
      <c r="I98" s="2">
        <v>0</v>
      </c>
      <c r="L98" s="25">
        <f t="shared" si="47"/>
        <v>0.314</v>
      </c>
      <c r="N98" s="26">
        <f t="shared" si="48"/>
        <v>0</v>
      </c>
      <c r="O98" s="26">
        <v>0.314</v>
      </c>
      <c r="Y98" s="31" t="e">
        <f t="shared" si="49"/>
        <v>#DIV/0!</v>
      </c>
      <c r="Z98" s="31" t="e">
        <f t="shared" si="50"/>
        <v>#DIV/0!</v>
      </c>
      <c r="AA98" s="31" t="e">
        <f t="shared" si="51"/>
        <v>#DIV/0!</v>
      </c>
      <c r="AD98" s="26" t="e">
        <f t="shared" si="52"/>
        <v>#DIV/0!</v>
      </c>
      <c r="AE98" s="26" t="e">
        <f t="shared" si="53"/>
        <v>#DIV/0!</v>
      </c>
      <c r="AL98" s="26">
        <f t="shared" si="54"/>
        <v>0</v>
      </c>
      <c r="AM98" s="26" t="e">
        <f t="shared" si="55"/>
        <v>#DIV/0!</v>
      </c>
      <c r="AR98" s="26" t="e">
        <f t="shared" si="56"/>
        <v>#DIV/0!</v>
      </c>
      <c r="AS98" s="26" t="e">
        <f t="shared" si="57"/>
        <v>#DIV/0!</v>
      </c>
      <c r="AT98" s="26" t="e">
        <f t="shared" si="65"/>
        <v>#DIV/0!</v>
      </c>
      <c r="AU98" s="26" t="e">
        <f t="shared" si="59"/>
        <v>#DIV/0!</v>
      </c>
      <c r="AV98" s="72" t="e">
        <f t="shared" si="60"/>
        <v>#DIV/0!</v>
      </c>
      <c r="AW98" s="2">
        <v>0</v>
      </c>
      <c r="AX98" s="2">
        <v>0</v>
      </c>
      <c r="AZ98" s="2" t="e">
        <f t="shared" si="61"/>
        <v>#DIV/0!</v>
      </c>
      <c r="BA98" s="26" t="e">
        <f t="shared" si="62"/>
        <v>#DIV/0!</v>
      </c>
      <c r="BB98" s="72" t="e">
        <f t="shared" si="63"/>
        <v>#DIV/0!</v>
      </c>
    </row>
    <row r="99" spans="1:54" x14ac:dyDescent="0.2">
      <c r="A99" s="2" t="s">
        <v>195</v>
      </c>
      <c r="C99" s="2">
        <v>1</v>
      </c>
      <c r="E99" s="2" t="s">
        <v>502</v>
      </c>
      <c r="F99" s="2">
        <v>0</v>
      </c>
      <c r="G99" s="2">
        <v>0</v>
      </c>
      <c r="H99" s="2">
        <v>0</v>
      </c>
      <c r="I99" s="2">
        <v>0</v>
      </c>
      <c r="L99" s="25">
        <f t="shared" si="47"/>
        <v>0.185</v>
      </c>
      <c r="N99" s="26">
        <f t="shared" si="48"/>
        <v>0</v>
      </c>
      <c r="O99" s="26">
        <v>0.185</v>
      </c>
      <c r="Y99" s="31" t="e">
        <f t="shared" si="49"/>
        <v>#DIV/0!</v>
      </c>
      <c r="Z99" s="31" t="e">
        <f t="shared" si="50"/>
        <v>#DIV/0!</v>
      </c>
      <c r="AA99" s="31" t="e">
        <f t="shared" si="51"/>
        <v>#DIV/0!</v>
      </c>
      <c r="AD99" s="26" t="e">
        <f t="shared" si="52"/>
        <v>#DIV/0!</v>
      </c>
      <c r="AE99" s="26" t="e">
        <f t="shared" si="53"/>
        <v>#DIV/0!</v>
      </c>
      <c r="AL99" s="26">
        <f t="shared" si="54"/>
        <v>0</v>
      </c>
      <c r="AM99" s="26" t="e">
        <f t="shared" si="55"/>
        <v>#DIV/0!</v>
      </c>
      <c r="AR99" s="26" t="e">
        <f t="shared" si="56"/>
        <v>#DIV/0!</v>
      </c>
      <c r="AS99" s="26" t="e">
        <f t="shared" si="57"/>
        <v>#DIV/0!</v>
      </c>
      <c r="AT99" s="26" t="e">
        <f t="shared" si="65"/>
        <v>#DIV/0!</v>
      </c>
      <c r="AU99" s="26" t="e">
        <f t="shared" si="59"/>
        <v>#DIV/0!</v>
      </c>
      <c r="AV99" s="72" t="e">
        <f t="shared" si="60"/>
        <v>#DIV/0!</v>
      </c>
      <c r="AW99" s="2">
        <v>0</v>
      </c>
      <c r="AX99" s="2">
        <v>0</v>
      </c>
      <c r="AZ99" s="2" t="e">
        <f t="shared" si="61"/>
        <v>#DIV/0!</v>
      </c>
      <c r="BA99" s="26" t="e">
        <f t="shared" si="62"/>
        <v>#DIV/0!</v>
      </c>
      <c r="BB99" s="72" t="e">
        <f t="shared" si="63"/>
        <v>#DIV/0!</v>
      </c>
    </row>
    <row r="100" spans="1:54" x14ac:dyDescent="0.2">
      <c r="A100" s="2" t="s">
        <v>196</v>
      </c>
      <c r="C100" s="2">
        <v>1</v>
      </c>
      <c r="E100" s="2" t="s">
        <v>502</v>
      </c>
      <c r="F100" s="2">
        <v>0</v>
      </c>
      <c r="G100" s="2">
        <v>1</v>
      </c>
      <c r="H100" s="2">
        <v>0</v>
      </c>
      <c r="I100" s="2">
        <v>0</v>
      </c>
      <c r="L100" s="25">
        <f t="shared" si="47"/>
        <v>0.35899999999999999</v>
      </c>
      <c r="N100" s="26">
        <f t="shared" si="48"/>
        <v>0</v>
      </c>
      <c r="O100" s="26">
        <v>0.35899999999999999</v>
      </c>
      <c r="Y100" s="31" t="e">
        <f t="shared" si="49"/>
        <v>#DIV/0!</v>
      </c>
      <c r="Z100" s="31" t="e">
        <f t="shared" si="50"/>
        <v>#DIV/0!</v>
      </c>
      <c r="AA100" s="31" t="e">
        <f t="shared" si="51"/>
        <v>#DIV/0!</v>
      </c>
      <c r="AD100" s="26" t="e">
        <f t="shared" si="52"/>
        <v>#DIV/0!</v>
      </c>
      <c r="AE100" s="26" t="e">
        <f t="shared" si="53"/>
        <v>#DIV/0!</v>
      </c>
      <c r="AL100" s="26">
        <f t="shared" si="54"/>
        <v>0</v>
      </c>
      <c r="AM100" s="26" t="e">
        <f t="shared" si="55"/>
        <v>#DIV/0!</v>
      </c>
      <c r="AR100" s="26" t="e">
        <f t="shared" si="56"/>
        <v>#DIV/0!</v>
      </c>
      <c r="AS100" s="26" t="e">
        <f t="shared" si="57"/>
        <v>#DIV/0!</v>
      </c>
      <c r="AT100" s="26" t="e">
        <f t="shared" si="65"/>
        <v>#DIV/0!</v>
      </c>
      <c r="AU100" s="26" t="e">
        <f t="shared" si="59"/>
        <v>#DIV/0!</v>
      </c>
      <c r="AV100" s="72" t="e">
        <f t="shared" si="60"/>
        <v>#DIV/0!</v>
      </c>
      <c r="AW100" s="2">
        <v>0</v>
      </c>
      <c r="AX100" s="2">
        <v>0</v>
      </c>
      <c r="AZ100" s="2" t="e">
        <f t="shared" si="61"/>
        <v>#DIV/0!</v>
      </c>
      <c r="BA100" s="26" t="e">
        <f t="shared" si="62"/>
        <v>#DIV/0!</v>
      </c>
      <c r="BB100" s="72" t="e">
        <f t="shared" si="63"/>
        <v>#DIV/0!</v>
      </c>
    </row>
    <row r="101" spans="1:54" x14ac:dyDescent="0.2">
      <c r="A101" s="2" t="s">
        <v>197</v>
      </c>
      <c r="C101" s="2">
        <v>1</v>
      </c>
      <c r="E101" s="2" t="s">
        <v>502</v>
      </c>
      <c r="F101" s="2">
        <v>0</v>
      </c>
      <c r="G101" s="2">
        <v>0</v>
      </c>
      <c r="H101" s="2">
        <v>0</v>
      </c>
      <c r="I101" s="2">
        <v>0</v>
      </c>
      <c r="L101" s="25">
        <f t="shared" si="47"/>
        <v>4.9000000000000002E-2</v>
      </c>
      <c r="N101" s="26">
        <f t="shared" si="48"/>
        <v>0</v>
      </c>
      <c r="O101" s="26">
        <v>4.9000000000000002E-2</v>
      </c>
      <c r="Y101" s="31" t="e">
        <f t="shared" si="49"/>
        <v>#DIV/0!</v>
      </c>
      <c r="Z101" s="31" t="e">
        <f t="shared" si="50"/>
        <v>#DIV/0!</v>
      </c>
      <c r="AA101" s="31" t="e">
        <f t="shared" si="51"/>
        <v>#DIV/0!</v>
      </c>
      <c r="AD101" s="26" t="e">
        <f t="shared" si="52"/>
        <v>#DIV/0!</v>
      </c>
      <c r="AE101" s="26" t="e">
        <f t="shared" si="53"/>
        <v>#DIV/0!</v>
      </c>
      <c r="AL101" s="26">
        <f t="shared" si="54"/>
        <v>0</v>
      </c>
      <c r="AM101" s="26" t="e">
        <f t="shared" si="55"/>
        <v>#DIV/0!</v>
      </c>
      <c r="AR101" s="26" t="e">
        <f t="shared" si="56"/>
        <v>#DIV/0!</v>
      </c>
      <c r="AS101" s="26" t="e">
        <f t="shared" si="57"/>
        <v>#DIV/0!</v>
      </c>
      <c r="AT101" s="26" t="e">
        <f t="shared" si="65"/>
        <v>#DIV/0!</v>
      </c>
      <c r="AU101" s="26" t="e">
        <f t="shared" si="59"/>
        <v>#DIV/0!</v>
      </c>
      <c r="AV101" s="72" t="e">
        <f t="shared" si="60"/>
        <v>#DIV/0!</v>
      </c>
      <c r="AW101" s="2">
        <v>0</v>
      </c>
      <c r="AX101" s="2">
        <v>0</v>
      </c>
      <c r="AZ101" s="2" t="e">
        <f t="shared" si="61"/>
        <v>#DIV/0!</v>
      </c>
      <c r="BA101" s="26" t="e">
        <f t="shared" si="62"/>
        <v>#DIV/0!</v>
      </c>
      <c r="BB101" s="72" t="e">
        <f t="shared" si="63"/>
        <v>#DIV/0!</v>
      </c>
    </row>
    <row r="102" spans="1:54" x14ac:dyDescent="0.2">
      <c r="A102" s="2" t="s">
        <v>199</v>
      </c>
      <c r="C102" s="2">
        <v>1</v>
      </c>
      <c r="E102" s="2" t="s">
        <v>502</v>
      </c>
      <c r="F102" s="2">
        <v>0</v>
      </c>
      <c r="G102" s="2">
        <v>0</v>
      </c>
      <c r="H102" s="2">
        <v>0</v>
      </c>
      <c r="I102" s="2">
        <v>0</v>
      </c>
      <c r="L102" s="25">
        <f t="shared" si="47"/>
        <v>0.32900000000000001</v>
      </c>
      <c r="N102" s="26">
        <f t="shared" si="48"/>
        <v>0</v>
      </c>
      <c r="O102" s="26">
        <v>0.32900000000000001</v>
      </c>
      <c r="Y102" s="31" t="e">
        <f t="shared" si="49"/>
        <v>#DIV/0!</v>
      </c>
      <c r="Z102" s="31" t="e">
        <f t="shared" si="50"/>
        <v>#DIV/0!</v>
      </c>
      <c r="AA102" s="31" t="e">
        <f t="shared" si="51"/>
        <v>#DIV/0!</v>
      </c>
      <c r="AD102" s="26" t="e">
        <f t="shared" si="52"/>
        <v>#DIV/0!</v>
      </c>
      <c r="AE102" s="26" t="e">
        <f t="shared" si="53"/>
        <v>#DIV/0!</v>
      </c>
      <c r="AL102" s="26">
        <f t="shared" si="54"/>
        <v>0</v>
      </c>
      <c r="AM102" s="26" t="e">
        <f t="shared" si="55"/>
        <v>#DIV/0!</v>
      </c>
      <c r="AR102" s="26" t="e">
        <f t="shared" si="56"/>
        <v>#DIV/0!</v>
      </c>
      <c r="AS102" s="26" t="e">
        <f t="shared" si="57"/>
        <v>#DIV/0!</v>
      </c>
      <c r="AT102" s="26" t="e">
        <f t="shared" si="65"/>
        <v>#DIV/0!</v>
      </c>
      <c r="AU102" s="26" t="e">
        <f t="shared" si="59"/>
        <v>#DIV/0!</v>
      </c>
      <c r="AV102" s="72" t="e">
        <f t="shared" si="60"/>
        <v>#DIV/0!</v>
      </c>
      <c r="AW102" s="2">
        <v>0</v>
      </c>
      <c r="AX102" s="2">
        <v>0</v>
      </c>
      <c r="AZ102" s="2" t="e">
        <f t="shared" si="61"/>
        <v>#DIV/0!</v>
      </c>
      <c r="BA102" s="26" t="e">
        <f t="shared" si="62"/>
        <v>#DIV/0!</v>
      </c>
      <c r="BB102" s="72" t="e">
        <f t="shared" si="63"/>
        <v>#DIV/0!</v>
      </c>
    </row>
    <row r="103" spans="1:54" x14ac:dyDescent="0.2">
      <c r="A103" s="2" t="s">
        <v>200</v>
      </c>
      <c r="C103" s="2">
        <v>1</v>
      </c>
      <c r="E103" s="2" t="s">
        <v>502</v>
      </c>
      <c r="F103" s="2">
        <v>0</v>
      </c>
      <c r="G103" s="2">
        <v>0</v>
      </c>
      <c r="H103" s="2">
        <v>0</v>
      </c>
      <c r="I103" s="2">
        <v>0</v>
      </c>
      <c r="L103" s="25">
        <f t="shared" si="47"/>
        <v>0.27200000000000002</v>
      </c>
      <c r="N103" s="26">
        <f t="shared" si="48"/>
        <v>0</v>
      </c>
      <c r="O103" s="26">
        <v>0.27200000000000002</v>
      </c>
      <c r="Y103" s="31" t="e">
        <f t="shared" si="49"/>
        <v>#DIV/0!</v>
      </c>
      <c r="Z103" s="31" t="e">
        <f t="shared" si="50"/>
        <v>#DIV/0!</v>
      </c>
      <c r="AA103" s="31" t="e">
        <f t="shared" si="51"/>
        <v>#DIV/0!</v>
      </c>
      <c r="AD103" s="26" t="e">
        <f t="shared" si="52"/>
        <v>#DIV/0!</v>
      </c>
      <c r="AE103" s="26" t="e">
        <f t="shared" si="53"/>
        <v>#DIV/0!</v>
      </c>
      <c r="AL103" s="26">
        <f t="shared" si="54"/>
        <v>0</v>
      </c>
      <c r="AM103" s="26" t="e">
        <f t="shared" si="55"/>
        <v>#DIV/0!</v>
      </c>
      <c r="AR103" s="26" t="e">
        <f t="shared" si="56"/>
        <v>#DIV/0!</v>
      </c>
      <c r="AS103" s="26" t="e">
        <f t="shared" si="57"/>
        <v>#DIV/0!</v>
      </c>
      <c r="AT103" s="26" t="e">
        <f t="shared" si="65"/>
        <v>#DIV/0!</v>
      </c>
      <c r="AU103" s="26" t="e">
        <f t="shared" si="59"/>
        <v>#DIV/0!</v>
      </c>
      <c r="AV103" s="72" t="e">
        <f t="shared" si="60"/>
        <v>#DIV/0!</v>
      </c>
      <c r="AW103" s="2">
        <v>0</v>
      </c>
      <c r="AX103" s="2">
        <v>0</v>
      </c>
      <c r="AZ103" s="2" t="e">
        <f t="shared" si="61"/>
        <v>#DIV/0!</v>
      </c>
      <c r="BA103" s="26" t="e">
        <f t="shared" si="62"/>
        <v>#DIV/0!</v>
      </c>
      <c r="BB103" s="72" t="e">
        <f t="shared" si="63"/>
        <v>#DIV/0!</v>
      </c>
    </row>
    <row r="104" spans="1:54" x14ac:dyDescent="0.2">
      <c r="A104" s="2" t="s">
        <v>201</v>
      </c>
      <c r="C104" s="2">
        <v>1</v>
      </c>
      <c r="E104" s="2" t="s">
        <v>502</v>
      </c>
      <c r="F104" s="2">
        <v>0</v>
      </c>
      <c r="G104" s="2">
        <v>0</v>
      </c>
      <c r="H104" s="2">
        <v>0</v>
      </c>
      <c r="I104" s="2">
        <v>0</v>
      </c>
      <c r="L104" s="25">
        <f t="shared" si="47"/>
        <v>8.6999999999999994E-2</v>
      </c>
      <c r="N104" s="26">
        <f t="shared" si="48"/>
        <v>0</v>
      </c>
      <c r="O104" s="26">
        <v>8.6999999999999994E-2</v>
      </c>
      <c r="Y104" s="31" t="e">
        <f t="shared" si="49"/>
        <v>#DIV/0!</v>
      </c>
      <c r="Z104" s="31" t="e">
        <f t="shared" si="50"/>
        <v>#DIV/0!</v>
      </c>
      <c r="AA104" s="31" t="e">
        <f t="shared" si="51"/>
        <v>#DIV/0!</v>
      </c>
      <c r="AD104" s="26" t="e">
        <f t="shared" si="52"/>
        <v>#DIV/0!</v>
      </c>
      <c r="AE104" s="26" t="e">
        <f t="shared" si="53"/>
        <v>#DIV/0!</v>
      </c>
      <c r="AL104" s="26">
        <f t="shared" si="54"/>
        <v>0</v>
      </c>
      <c r="AM104" s="26" t="e">
        <f t="shared" si="55"/>
        <v>#DIV/0!</v>
      </c>
      <c r="AR104" s="26" t="e">
        <f t="shared" si="56"/>
        <v>#DIV/0!</v>
      </c>
      <c r="AS104" s="26" t="e">
        <f t="shared" si="57"/>
        <v>#DIV/0!</v>
      </c>
      <c r="AT104" s="26" t="e">
        <f t="shared" si="65"/>
        <v>#DIV/0!</v>
      </c>
      <c r="AU104" s="26" t="e">
        <f t="shared" si="59"/>
        <v>#DIV/0!</v>
      </c>
      <c r="AV104" s="72" t="e">
        <f t="shared" si="60"/>
        <v>#DIV/0!</v>
      </c>
      <c r="AW104" s="2">
        <v>0</v>
      </c>
      <c r="AX104" s="2">
        <v>0</v>
      </c>
      <c r="AZ104" s="2" t="e">
        <f t="shared" si="61"/>
        <v>#DIV/0!</v>
      </c>
      <c r="BA104" s="26" t="e">
        <f t="shared" si="62"/>
        <v>#DIV/0!</v>
      </c>
      <c r="BB104" s="72" t="e">
        <f t="shared" si="63"/>
        <v>#DIV/0!</v>
      </c>
    </row>
    <row r="105" spans="1:54" x14ac:dyDescent="0.2">
      <c r="A105" s="2" t="s">
        <v>202</v>
      </c>
      <c r="C105" s="2">
        <v>1</v>
      </c>
      <c r="E105" s="2" t="s">
        <v>502</v>
      </c>
      <c r="F105" s="2">
        <v>0</v>
      </c>
      <c r="G105" s="2">
        <v>0</v>
      </c>
      <c r="H105" s="2">
        <v>0</v>
      </c>
      <c r="I105" s="2">
        <v>0</v>
      </c>
      <c r="L105" s="25">
        <f t="shared" si="47"/>
        <v>0.15</v>
      </c>
      <c r="N105" s="26">
        <f t="shared" si="48"/>
        <v>0</v>
      </c>
      <c r="O105" s="26">
        <v>0.15</v>
      </c>
      <c r="Y105" s="31" t="e">
        <f t="shared" si="49"/>
        <v>#DIV/0!</v>
      </c>
      <c r="Z105" s="31" t="e">
        <f t="shared" si="50"/>
        <v>#DIV/0!</v>
      </c>
      <c r="AA105" s="31" t="e">
        <f t="shared" si="51"/>
        <v>#DIV/0!</v>
      </c>
      <c r="AD105" s="26" t="e">
        <f t="shared" si="52"/>
        <v>#DIV/0!</v>
      </c>
      <c r="AE105" s="26" t="e">
        <f t="shared" si="53"/>
        <v>#DIV/0!</v>
      </c>
      <c r="AL105" s="26">
        <f t="shared" si="54"/>
        <v>0</v>
      </c>
      <c r="AM105" s="26" t="e">
        <f t="shared" si="55"/>
        <v>#DIV/0!</v>
      </c>
      <c r="AR105" s="26" t="e">
        <f t="shared" si="56"/>
        <v>#DIV/0!</v>
      </c>
      <c r="AS105" s="26" t="e">
        <f t="shared" si="57"/>
        <v>#DIV/0!</v>
      </c>
      <c r="AT105" s="26" t="e">
        <f t="shared" si="65"/>
        <v>#DIV/0!</v>
      </c>
      <c r="AU105" s="26" t="e">
        <f t="shared" si="59"/>
        <v>#DIV/0!</v>
      </c>
      <c r="AV105" s="72" t="e">
        <f t="shared" si="60"/>
        <v>#DIV/0!</v>
      </c>
      <c r="AW105" s="2">
        <v>0</v>
      </c>
      <c r="AX105" s="2">
        <v>0</v>
      </c>
      <c r="AZ105" s="2" t="e">
        <f t="shared" si="61"/>
        <v>#DIV/0!</v>
      </c>
      <c r="BA105" s="26" t="e">
        <f t="shared" si="62"/>
        <v>#DIV/0!</v>
      </c>
      <c r="BB105" s="72" t="e">
        <f t="shared" si="63"/>
        <v>#DIV/0!</v>
      </c>
    </row>
    <row r="106" spans="1:54" x14ac:dyDescent="0.2">
      <c r="A106" s="2" t="s">
        <v>251</v>
      </c>
      <c r="C106" s="2">
        <v>1</v>
      </c>
      <c r="E106" s="2" t="s">
        <v>502</v>
      </c>
      <c r="F106" s="2">
        <v>0</v>
      </c>
      <c r="G106" s="2">
        <v>1</v>
      </c>
      <c r="H106" s="2">
        <v>0</v>
      </c>
      <c r="I106" s="2">
        <v>0</v>
      </c>
      <c r="L106" s="25">
        <f t="shared" si="47"/>
        <v>0.26700000000000002</v>
      </c>
      <c r="N106" s="26">
        <f t="shared" si="48"/>
        <v>0</v>
      </c>
      <c r="O106" s="26">
        <v>0.26700000000000002</v>
      </c>
      <c r="Y106" s="31" t="e">
        <f t="shared" si="49"/>
        <v>#DIV/0!</v>
      </c>
      <c r="Z106" s="31" t="e">
        <f t="shared" si="50"/>
        <v>#DIV/0!</v>
      </c>
      <c r="AA106" s="31" t="e">
        <f t="shared" si="51"/>
        <v>#DIV/0!</v>
      </c>
      <c r="AD106" s="26" t="e">
        <f t="shared" si="52"/>
        <v>#DIV/0!</v>
      </c>
      <c r="AE106" s="26" t="e">
        <f t="shared" si="53"/>
        <v>#DIV/0!</v>
      </c>
      <c r="AL106" s="26">
        <f t="shared" si="54"/>
        <v>0</v>
      </c>
      <c r="AM106" s="26" t="e">
        <f t="shared" si="55"/>
        <v>#DIV/0!</v>
      </c>
      <c r="AR106" s="26" t="e">
        <f t="shared" si="56"/>
        <v>#DIV/0!</v>
      </c>
      <c r="AS106" s="26" t="e">
        <f t="shared" si="57"/>
        <v>#DIV/0!</v>
      </c>
      <c r="AT106" s="26" t="e">
        <f t="shared" si="65"/>
        <v>#DIV/0!</v>
      </c>
      <c r="AU106" s="26" t="e">
        <f t="shared" si="59"/>
        <v>#DIV/0!</v>
      </c>
      <c r="AV106" s="72" t="e">
        <f t="shared" si="60"/>
        <v>#DIV/0!</v>
      </c>
      <c r="AW106" s="2">
        <v>0</v>
      </c>
      <c r="AX106" s="2">
        <v>0</v>
      </c>
      <c r="AZ106" s="2" t="e">
        <f t="shared" si="61"/>
        <v>#DIV/0!</v>
      </c>
      <c r="BA106" s="26" t="e">
        <f t="shared" si="62"/>
        <v>#DIV/0!</v>
      </c>
      <c r="BB106" s="72" t="e">
        <f t="shared" si="63"/>
        <v>#DIV/0!</v>
      </c>
    </row>
    <row r="107" spans="1:54" x14ac:dyDescent="0.2">
      <c r="A107" s="2" t="s">
        <v>203</v>
      </c>
      <c r="C107" s="2">
        <v>1</v>
      </c>
      <c r="E107" s="2" t="s">
        <v>502</v>
      </c>
      <c r="F107" s="2">
        <v>0</v>
      </c>
      <c r="G107" s="2">
        <v>0</v>
      </c>
      <c r="H107" s="2">
        <v>0</v>
      </c>
      <c r="I107" s="2">
        <v>0</v>
      </c>
      <c r="L107" s="25">
        <f t="shared" si="47"/>
        <v>2.5000000000000001E-2</v>
      </c>
      <c r="N107" s="26">
        <f t="shared" si="48"/>
        <v>0</v>
      </c>
      <c r="O107" s="26">
        <v>2.5000000000000001E-2</v>
      </c>
      <c r="Y107" s="31" t="e">
        <f t="shared" si="49"/>
        <v>#DIV/0!</v>
      </c>
      <c r="Z107" s="31" t="e">
        <f t="shared" si="50"/>
        <v>#DIV/0!</v>
      </c>
      <c r="AA107" s="31" t="e">
        <f t="shared" si="51"/>
        <v>#DIV/0!</v>
      </c>
      <c r="AD107" s="26" t="e">
        <f t="shared" si="52"/>
        <v>#DIV/0!</v>
      </c>
      <c r="AE107" s="26" t="e">
        <f t="shared" si="53"/>
        <v>#DIV/0!</v>
      </c>
      <c r="AL107" s="26">
        <f t="shared" si="54"/>
        <v>0</v>
      </c>
      <c r="AM107" s="26" t="e">
        <f t="shared" si="55"/>
        <v>#DIV/0!</v>
      </c>
      <c r="AR107" s="26" t="e">
        <f t="shared" si="56"/>
        <v>#DIV/0!</v>
      </c>
      <c r="AS107" s="26" t="e">
        <f t="shared" si="57"/>
        <v>#DIV/0!</v>
      </c>
      <c r="AT107" s="26" t="e">
        <f t="shared" si="65"/>
        <v>#DIV/0!</v>
      </c>
      <c r="AU107" s="26" t="e">
        <f t="shared" si="59"/>
        <v>#DIV/0!</v>
      </c>
      <c r="AV107" s="72" t="e">
        <f t="shared" si="60"/>
        <v>#DIV/0!</v>
      </c>
      <c r="AW107" s="2">
        <v>0</v>
      </c>
      <c r="AX107" s="2">
        <v>0</v>
      </c>
      <c r="AZ107" s="2" t="e">
        <f t="shared" si="61"/>
        <v>#DIV/0!</v>
      </c>
      <c r="BA107" s="26" t="e">
        <f t="shared" si="62"/>
        <v>#DIV/0!</v>
      </c>
      <c r="BB107" s="72" t="e">
        <f t="shared" si="63"/>
        <v>#DIV/0!</v>
      </c>
    </row>
    <row r="108" spans="1:54" x14ac:dyDescent="0.2">
      <c r="A108" s="2" t="s">
        <v>204</v>
      </c>
      <c r="C108" s="2">
        <v>1</v>
      </c>
      <c r="E108" s="2" t="s">
        <v>502</v>
      </c>
      <c r="F108" s="2">
        <v>0</v>
      </c>
      <c r="G108" s="2">
        <v>0</v>
      </c>
      <c r="H108" s="2">
        <v>0</v>
      </c>
      <c r="I108" s="2">
        <v>0</v>
      </c>
      <c r="L108" s="25">
        <f t="shared" si="47"/>
        <v>0.28000000000000003</v>
      </c>
      <c r="N108" s="26">
        <f t="shared" si="48"/>
        <v>0</v>
      </c>
      <c r="O108" s="26">
        <v>0.28000000000000003</v>
      </c>
      <c r="Y108" s="31" t="e">
        <f t="shared" si="49"/>
        <v>#DIV/0!</v>
      </c>
      <c r="Z108" s="31" t="e">
        <f t="shared" si="50"/>
        <v>#DIV/0!</v>
      </c>
      <c r="AA108" s="31" t="e">
        <f t="shared" si="51"/>
        <v>#DIV/0!</v>
      </c>
      <c r="AD108" s="26" t="e">
        <f t="shared" si="52"/>
        <v>#DIV/0!</v>
      </c>
      <c r="AE108" s="26" t="e">
        <f t="shared" si="53"/>
        <v>#DIV/0!</v>
      </c>
      <c r="AL108" s="26">
        <f t="shared" si="54"/>
        <v>0</v>
      </c>
      <c r="AM108" s="26" t="e">
        <f t="shared" si="55"/>
        <v>#DIV/0!</v>
      </c>
      <c r="AR108" s="26" t="e">
        <f t="shared" si="56"/>
        <v>#DIV/0!</v>
      </c>
      <c r="AS108" s="26" t="e">
        <f t="shared" si="57"/>
        <v>#DIV/0!</v>
      </c>
      <c r="AT108" s="26" t="e">
        <f t="shared" si="65"/>
        <v>#DIV/0!</v>
      </c>
      <c r="AU108" s="26" t="e">
        <f t="shared" si="59"/>
        <v>#DIV/0!</v>
      </c>
      <c r="AV108" s="72" t="e">
        <f t="shared" si="60"/>
        <v>#DIV/0!</v>
      </c>
      <c r="AW108" s="2">
        <v>0</v>
      </c>
      <c r="AX108" s="2">
        <v>0</v>
      </c>
      <c r="AZ108" s="2" t="e">
        <f t="shared" si="61"/>
        <v>#DIV/0!</v>
      </c>
      <c r="BA108" s="26" t="e">
        <f t="shared" si="62"/>
        <v>#DIV/0!</v>
      </c>
      <c r="BB108" s="72" t="e">
        <f t="shared" si="63"/>
        <v>#DIV/0!</v>
      </c>
    </row>
    <row r="109" spans="1:54" x14ac:dyDescent="0.2">
      <c r="A109" s="2" t="s">
        <v>205</v>
      </c>
      <c r="C109" s="2">
        <v>1</v>
      </c>
      <c r="E109" s="2" t="s">
        <v>502</v>
      </c>
      <c r="F109" s="2">
        <v>0</v>
      </c>
      <c r="G109" s="2">
        <v>1</v>
      </c>
      <c r="H109" s="2">
        <v>0</v>
      </c>
      <c r="I109" s="2">
        <v>0</v>
      </c>
      <c r="L109" s="25">
        <f t="shared" si="47"/>
        <v>0.126</v>
      </c>
      <c r="N109" s="26">
        <f t="shared" si="48"/>
        <v>0</v>
      </c>
      <c r="O109" s="26">
        <v>0.126</v>
      </c>
      <c r="Y109" s="31" t="e">
        <f t="shared" si="49"/>
        <v>#DIV/0!</v>
      </c>
      <c r="Z109" s="31" t="e">
        <f t="shared" si="50"/>
        <v>#DIV/0!</v>
      </c>
      <c r="AA109" s="31" t="e">
        <f t="shared" si="51"/>
        <v>#DIV/0!</v>
      </c>
      <c r="AD109" s="26" t="e">
        <f t="shared" si="52"/>
        <v>#DIV/0!</v>
      </c>
      <c r="AE109" s="26" t="e">
        <f t="shared" si="53"/>
        <v>#DIV/0!</v>
      </c>
      <c r="AL109" s="26">
        <f t="shared" si="54"/>
        <v>0</v>
      </c>
      <c r="AM109" s="26" t="e">
        <f t="shared" si="55"/>
        <v>#DIV/0!</v>
      </c>
      <c r="AR109" s="26" t="e">
        <f t="shared" si="56"/>
        <v>#DIV/0!</v>
      </c>
      <c r="AS109" s="26" t="e">
        <f t="shared" si="57"/>
        <v>#DIV/0!</v>
      </c>
      <c r="AT109" s="26" t="e">
        <f t="shared" si="65"/>
        <v>#DIV/0!</v>
      </c>
      <c r="AU109" s="26" t="e">
        <f t="shared" si="59"/>
        <v>#DIV/0!</v>
      </c>
      <c r="AV109" s="72" t="e">
        <f t="shared" si="60"/>
        <v>#DIV/0!</v>
      </c>
      <c r="AW109" s="2">
        <v>0</v>
      </c>
      <c r="AX109" s="2">
        <v>0</v>
      </c>
      <c r="AZ109" s="2" t="e">
        <f t="shared" si="61"/>
        <v>#DIV/0!</v>
      </c>
      <c r="BA109" s="26" t="e">
        <f t="shared" si="62"/>
        <v>#DIV/0!</v>
      </c>
      <c r="BB109" s="72" t="e">
        <f t="shared" si="63"/>
        <v>#DIV/0!</v>
      </c>
    </row>
    <row r="110" spans="1:54" x14ac:dyDescent="0.2">
      <c r="A110" s="2" t="s">
        <v>206</v>
      </c>
      <c r="C110" s="2">
        <v>1</v>
      </c>
      <c r="E110" s="2" t="s">
        <v>502</v>
      </c>
      <c r="F110" s="2">
        <v>0</v>
      </c>
      <c r="G110" s="2">
        <v>0</v>
      </c>
      <c r="H110" s="2">
        <v>0</v>
      </c>
      <c r="I110" s="2">
        <v>0</v>
      </c>
      <c r="L110" s="25">
        <f t="shared" si="47"/>
        <v>0.17199999999999999</v>
      </c>
      <c r="N110" s="26">
        <f t="shared" si="48"/>
        <v>0</v>
      </c>
      <c r="O110" s="26">
        <v>0.17199999999999999</v>
      </c>
      <c r="Y110" s="31" t="e">
        <f t="shared" si="49"/>
        <v>#DIV/0!</v>
      </c>
      <c r="Z110" s="31" t="e">
        <f t="shared" si="50"/>
        <v>#DIV/0!</v>
      </c>
      <c r="AA110" s="31" t="e">
        <f t="shared" si="51"/>
        <v>#DIV/0!</v>
      </c>
      <c r="AD110" s="26" t="e">
        <f t="shared" si="52"/>
        <v>#DIV/0!</v>
      </c>
      <c r="AE110" s="26" t="e">
        <f t="shared" si="53"/>
        <v>#DIV/0!</v>
      </c>
      <c r="AL110" s="26">
        <f t="shared" si="54"/>
        <v>0</v>
      </c>
      <c r="AM110" s="26" t="e">
        <f t="shared" si="55"/>
        <v>#DIV/0!</v>
      </c>
      <c r="AR110" s="26" t="e">
        <f t="shared" si="56"/>
        <v>#DIV/0!</v>
      </c>
      <c r="AS110" s="26" t="e">
        <f t="shared" si="57"/>
        <v>#DIV/0!</v>
      </c>
      <c r="AT110" s="26" t="e">
        <f t="shared" si="65"/>
        <v>#DIV/0!</v>
      </c>
      <c r="AU110" s="26" t="e">
        <f t="shared" si="59"/>
        <v>#DIV/0!</v>
      </c>
      <c r="AV110" s="72" t="e">
        <f t="shared" si="60"/>
        <v>#DIV/0!</v>
      </c>
      <c r="AW110" s="2">
        <v>0</v>
      </c>
      <c r="AX110" s="2">
        <v>0</v>
      </c>
      <c r="AZ110" s="2" t="e">
        <f t="shared" si="61"/>
        <v>#DIV/0!</v>
      </c>
      <c r="BA110" s="26" t="e">
        <f t="shared" si="62"/>
        <v>#DIV/0!</v>
      </c>
      <c r="BB110" s="72" t="e">
        <f t="shared" si="63"/>
        <v>#DIV/0!</v>
      </c>
    </row>
    <row r="111" spans="1:54" x14ac:dyDescent="0.2">
      <c r="A111" s="2" t="s">
        <v>207</v>
      </c>
      <c r="C111" s="2">
        <v>1</v>
      </c>
      <c r="E111" s="2" t="s">
        <v>502</v>
      </c>
      <c r="F111" s="2">
        <v>0</v>
      </c>
      <c r="G111" s="2">
        <v>0</v>
      </c>
      <c r="H111" s="2">
        <v>0</v>
      </c>
      <c r="I111" s="2">
        <v>0</v>
      </c>
      <c r="L111" s="25">
        <f t="shared" si="47"/>
        <v>8.5999999999999993E-2</v>
      </c>
      <c r="N111" s="26">
        <f t="shared" si="48"/>
        <v>0</v>
      </c>
      <c r="O111" s="26">
        <v>8.5999999999999993E-2</v>
      </c>
      <c r="Y111" s="31" t="e">
        <f t="shared" si="49"/>
        <v>#DIV/0!</v>
      </c>
      <c r="Z111" s="31" t="e">
        <f t="shared" si="50"/>
        <v>#DIV/0!</v>
      </c>
      <c r="AA111" s="31" t="e">
        <f t="shared" si="51"/>
        <v>#DIV/0!</v>
      </c>
      <c r="AD111" s="26" t="e">
        <f t="shared" si="52"/>
        <v>#DIV/0!</v>
      </c>
      <c r="AE111" s="26" t="e">
        <f t="shared" si="53"/>
        <v>#DIV/0!</v>
      </c>
      <c r="AL111" s="26">
        <f t="shared" si="54"/>
        <v>0</v>
      </c>
      <c r="AM111" s="26" t="e">
        <f t="shared" si="55"/>
        <v>#DIV/0!</v>
      </c>
      <c r="AR111" s="26" t="e">
        <f t="shared" si="56"/>
        <v>#DIV/0!</v>
      </c>
      <c r="AS111" s="26" t="e">
        <f t="shared" si="57"/>
        <v>#DIV/0!</v>
      </c>
      <c r="AT111" s="26" t="e">
        <f t="shared" si="65"/>
        <v>#DIV/0!</v>
      </c>
      <c r="AU111" s="26" t="e">
        <f t="shared" si="59"/>
        <v>#DIV/0!</v>
      </c>
      <c r="AV111" s="72" t="e">
        <f t="shared" si="60"/>
        <v>#DIV/0!</v>
      </c>
      <c r="AW111" s="2">
        <v>0</v>
      </c>
      <c r="AX111" s="2">
        <v>0</v>
      </c>
      <c r="AZ111" s="2" t="e">
        <f t="shared" si="61"/>
        <v>#DIV/0!</v>
      </c>
      <c r="BA111" s="26" t="e">
        <f t="shared" si="62"/>
        <v>#DIV/0!</v>
      </c>
      <c r="BB111" s="72" t="e">
        <f t="shared" si="63"/>
        <v>#DIV/0!</v>
      </c>
    </row>
    <row r="112" spans="1:54" x14ac:dyDescent="0.2">
      <c r="A112" s="2" t="s">
        <v>208</v>
      </c>
      <c r="C112" s="2">
        <v>1</v>
      </c>
      <c r="E112" s="2" t="s">
        <v>502</v>
      </c>
      <c r="F112" s="2">
        <v>0</v>
      </c>
      <c r="G112" s="2">
        <v>0</v>
      </c>
      <c r="H112" s="2">
        <v>0</v>
      </c>
      <c r="I112" s="2">
        <v>0</v>
      </c>
      <c r="L112" s="25">
        <f t="shared" si="47"/>
        <v>0.28699999999999998</v>
      </c>
      <c r="N112" s="26">
        <f t="shared" si="48"/>
        <v>0</v>
      </c>
      <c r="O112" s="26">
        <v>0.28699999999999998</v>
      </c>
      <c r="Y112" s="31" t="e">
        <f t="shared" si="49"/>
        <v>#DIV/0!</v>
      </c>
      <c r="Z112" s="31" t="e">
        <f t="shared" si="50"/>
        <v>#DIV/0!</v>
      </c>
      <c r="AA112" s="31" t="e">
        <f t="shared" si="51"/>
        <v>#DIV/0!</v>
      </c>
      <c r="AD112" s="26" t="e">
        <f t="shared" si="52"/>
        <v>#DIV/0!</v>
      </c>
      <c r="AE112" s="26" t="e">
        <f t="shared" si="53"/>
        <v>#DIV/0!</v>
      </c>
      <c r="AL112" s="26">
        <f t="shared" si="54"/>
        <v>0</v>
      </c>
      <c r="AM112" s="26" t="e">
        <f t="shared" si="55"/>
        <v>#DIV/0!</v>
      </c>
      <c r="AR112" s="26" t="e">
        <f t="shared" si="56"/>
        <v>#DIV/0!</v>
      </c>
      <c r="AS112" s="26" t="e">
        <f t="shared" si="57"/>
        <v>#DIV/0!</v>
      </c>
      <c r="AT112" s="26" t="e">
        <f t="shared" si="65"/>
        <v>#DIV/0!</v>
      </c>
      <c r="AU112" s="26" t="e">
        <f t="shared" si="59"/>
        <v>#DIV/0!</v>
      </c>
      <c r="AV112" s="72" t="e">
        <f t="shared" si="60"/>
        <v>#DIV/0!</v>
      </c>
      <c r="AW112" s="2">
        <v>0</v>
      </c>
      <c r="AX112" s="2">
        <v>0</v>
      </c>
      <c r="AZ112" s="2" t="e">
        <f t="shared" si="61"/>
        <v>#DIV/0!</v>
      </c>
      <c r="BA112" s="26" t="e">
        <f t="shared" si="62"/>
        <v>#DIV/0!</v>
      </c>
      <c r="BB112" s="72" t="e">
        <f t="shared" si="63"/>
        <v>#DIV/0!</v>
      </c>
    </row>
    <row r="113" spans="1:54" x14ac:dyDescent="0.2">
      <c r="A113" s="2" t="s">
        <v>209</v>
      </c>
      <c r="C113" s="2">
        <v>1</v>
      </c>
      <c r="E113" s="2" t="s">
        <v>502</v>
      </c>
      <c r="F113" s="2">
        <v>0</v>
      </c>
      <c r="G113" s="2">
        <v>0</v>
      </c>
      <c r="H113" s="2">
        <v>0</v>
      </c>
      <c r="I113" s="2">
        <v>0</v>
      </c>
      <c r="L113" s="25">
        <f t="shared" si="47"/>
        <v>0.372</v>
      </c>
      <c r="N113" s="26">
        <f t="shared" si="48"/>
        <v>0</v>
      </c>
      <c r="O113" s="26">
        <v>0.372</v>
      </c>
      <c r="Y113" s="31" t="e">
        <f t="shared" si="49"/>
        <v>#DIV/0!</v>
      </c>
      <c r="Z113" s="31" t="e">
        <f t="shared" si="50"/>
        <v>#DIV/0!</v>
      </c>
      <c r="AA113" s="31" t="e">
        <f t="shared" si="51"/>
        <v>#DIV/0!</v>
      </c>
      <c r="AD113" s="26" t="e">
        <f t="shared" si="52"/>
        <v>#DIV/0!</v>
      </c>
      <c r="AE113" s="26" t="e">
        <f t="shared" si="53"/>
        <v>#DIV/0!</v>
      </c>
      <c r="AL113" s="26">
        <f t="shared" si="54"/>
        <v>0</v>
      </c>
      <c r="AM113" s="26" t="e">
        <f t="shared" si="55"/>
        <v>#DIV/0!</v>
      </c>
      <c r="AR113" s="26" t="e">
        <f t="shared" si="56"/>
        <v>#DIV/0!</v>
      </c>
      <c r="AS113" s="26" t="e">
        <f t="shared" si="57"/>
        <v>#DIV/0!</v>
      </c>
      <c r="AT113" s="26" t="e">
        <f t="shared" si="65"/>
        <v>#DIV/0!</v>
      </c>
      <c r="AU113" s="26" t="e">
        <f t="shared" si="59"/>
        <v>#DIV/0!</v>
      </c>
      <c r="AV113" s="72" t="e">
        <f t="shared" si="60"/>
        <v>#DIV/0!</v>
      </c>
      <c r="AW113" s="2">
        <v>0</v>
      </c>
      <c r="AX113" s="2">
        <v>0</v>
      </c>
      <c r="AZ113" s="2" t="e">
        <f t="shared" si="61"/>
        <v>#DIV/0!</v>
      </c>
      <c r="BA113" s="26" t="e">
        <f t="shared" si="62"/>
        <v>#DIV/0!</v>
      </c>
      <c r="BB113" s="72" t="e">
        <f t="shared" si="63"/>
        <v>#DIV/0!</v>
      </c>
    </row>
    <row r="114" spans="1:54" x14ac:dyDescent="0.2">
      <c r="A114" s="2" t="s">
        <v>210</v>
      </c>
      <c r="C114" s="2">
        <v>1</v>
      </c>
      <c r="E114" s="2" t="s">
        <v>502</v>
      </c>
      <c r="F114" s="2">
        <v>0</v>
      </c>
      <c r="G114" s="2">
        <v>1</v>
      </c>
      <c r="H114" s="2">
        <v>0</v>
      </c>
      <c r="I114" s="2">
        <v>0</v>
      </c>
      <c r="L114" s="25">
        <f t="shared" si="47"/>
        <v>0.80400000000000005</v>
      </c>
      <c r="N114" s="26">
        <f t="shared" si="48"/>
        <v>0</v>
      </c>
      <c r="O114" s="26">
        <v>0.80400000000000005</v>
      </c>
      <c r="Y114" s="31" t="e">
        <f t="shared" si="49"/>
        <v>#DIV/0!</v>
      </c>
      <c r="Z114" s="31" t="e">
        <f t="shared" si="50"/>
        <v>#DIV/0!</v>
      </c>
      <c r="AA114" s="31" t="e">
        <f t="shared" si="51"/>
        <v>#DIV/0!</v>
      </c>
      <c r="AD114" s="26" t="e">
        <f t="shared" si="52"/>
        <v>#DIV/0!</v>
      </c>
      <c r="AE114" s="26" t="e">
        <f t="shared" si="53"/>
        <v>#DIV/0!</v>
      </c>
      <c r="AL114" s="26">
        <f t="shared" si="54"/>
        <v>0</v>
      </c>
      <c r="AM114" s="26" t="e">
        <f t="shared" si="55"/>
        <v>#DIV/0!</v>
      </c>
      <c r="AR114" s="26" t="e">
        <f t="shared" si="56"/>
        <v>#DIV/0!</v>
      </c>
      <c r="AS114" s="26" t="e">
        <f t="shared" si="57"/>
        <v>#DIV/0!</v>
      </c>
      <c r="AT114" s="26" t="e">
        <f t="shared" si="65"/>
        <v>#DIV/0!</v>
      </c>
      <c r="AU114" s="26" t="e">
        <f t="shared" si="59"/>
        <v>#DIV/0!</v>
      </c>
      <c r="AV114" s="72" t="e">
        <f t="shared" si="60"/>
        <v>#DIV/0!</v>
      </c>
      <c r="AW114" s="2">
        <v>0</v>
      </c>
      <c r="AX114" s="2">
        <v>0</v>
      </c>
      <c r="AZ114" s="2" t="e">
        <f t="shared" si="61"/>
        <v>#DIV/0!</v>
      </c>
      <c r="BA114" s="26" t="e">
        <f t="shared" si="62"/>
        <v>#DIV/0!</v>
      </c>
      <c r="BB114" s="72" t="e">
        <f t="shared" si="63"/>
        <v>#DIV/0!</v>
      </c>
    </row>
    <row r="115" spans="1:54" x14ac:dyDescent="0.2">
      <c r="A115" s="42" t="s">
        <v>211</v>
      </c>
      <c r="B115" s="42"/>
      <c r="C115" s="2">
        <v>1</v>
      </c>
      <c r="D115" s="42"/>
      <c r="E115" s="2" t="s">
        <v>502</v>
      </c>
      <c r="F115" s="2">
        <v>0</v>
      </c>
      <c r="G115" s="2">
        <v>0</v>
      </c>
      <c r="H115" s="2">
        <v>0</v>
      </c>
      <c r="I115" s="2">
        <v>0</v>
      </c>
      <c r="L115" s="25">
        <f t="shared" si="47"/>
        <v>0.155</v>
      </c>
      <c r="N115" s="26">
        <f t="shared" si="48"/>
        <v>0</v>
      </c>
      <c r="O115" s="26">
        <v>0.155</v>
      </c>
      <c r="Y115" s="31" t="e">
        <f t="shared" si="49"/>
        <v>#DIV/0!</v>
      </c>
      <c r="Z115" s="31" t="e">
        <f t="shared" si="50"/>
        <v>#DIV/0!</v>
      </c>
      <c r="AA115" s="31" t="e">
        <f t="shared" si="51"/>
        <v>#DIV/0!</v>
      </c>
      <c r="AD115" s="26" t="e">
        <f t="shared" si="52"/>
        <v>#DIV/0!</v>
      </c>
      <c r="AE115" s="26" t="e">
        <f t="shared" si="53"/>
        <v>#DIV/0!</v>
      </c>
      <c r="AL115" s="26">
        <f t="shared" si="54"/>
        <v>0</v>
      </c>
      <c r="AM115" s="26" t="e">
        <f t="shared" si="55"/>
        <v>#DIV/0!</v>
      </c>
      <c r="AR115" s="26" t="e">
        <f t="shared" si="56"/>
        <v>#DIV/0!</v>
      </c>
      <c r="AS115" s="26" t="e">
        <f t="shared" si="57"/>
        <v>#DIV/0!</v>
      </c>
      <c r="AT115" s="26" t="e">
        <f t="shared" si="65"/>
        <v>#DIV/0!</v>
      </c>
      <c r="AU115" s="26" t="e">
        <f t="shared" si="59"/>
        <v>#DIV/0!</v>
      </c>
      <c r="AV115" s="72" t="e">
        <f t="shared" si="60"/>
        <v>#DIV/0!</v>
      </c>
      <c r="AW115" s="2">
        <v>0</v>
      </c>
      <c r="AX115" s="2">
        <v>0</v>
      </c>
      <c r="AZ115" s="2" t="e">
        <f t="shared" si="61"/>
        <v>#DIV/0!</v>
      </c>
      <c r="BA115" s="26" t="e">
        <f t="shared" si="62"/>
        <v>#DIV/0!</v>
      </c>
      <c r="BB115" s="72" t="e">
        <f t="shared" si="63"/>
        <v>#DIV/0!</v>
      </c>
    </row>
    <row r="116" spans="1:54" s="44" customFormat="1" ht="15" x14ac:dyDescent="0.25">
      <c r="A116" s="44" t="s">
        <v>670</v>
      </c>
      <c r="B116" s="44">
        <f>SUM(B2:B115)</f>
        <v>0</v>
      </c>
      <c r="C116" s="44">
        <f>SUM(C2:C115)</f>
        <v>114</v>
      </c>
      <c r="D116" s="44">
        <f t="shared" ref="D116:O116" si="66">SUM(D2:D115)</f>
        <v>0</v>
      </c>
      <c r="E116" s="44">
        <f>COUNTA(E2:E115)</f>
        <v>114</v>
      </c>
      <c r="F116" s="44">
        <f t="shared" si="66"/>
        <v>0</v>
      </c>
      <c r="G116" s="44">
        <f t="shared" si="66"/>
        <v>36</v>
      </c>
      <c r="H116" s="44">
        <f t="shared" si="66"/>
        <v>6</v>
      </c>
      <c r="I116" s="44">
        <f t="shared" si="66"/>
        <v>0</v>
      </c>
      <c r="J116" s="80">
        <f t="shared" si="66"/>
        <v>897.36464199999989</v>
      </c>
      <c r="K116" s="80">
        <f t="shared" si="66"/>
        <v>89.952516000000003</v>
      </c>
      <c r="L116" s="80">
        <f t="shared" si="66"/>
        <v>40.807814999999984</v>
      </c>
      <c r="M116" s="44">
        <f t="shared" si="66"/>
        <v>4.3996999999999993</v>
      </c>
      <c r="N116" s="44">
        <f t="shared" si="66"/>
        <v>0.50868599999999997</v>
      </c>
      <c r="O116" s="44">
        <f t="shared" si="66"/>
        <v>34.671396999999992</v>
      </c>
      <c r="P116" s="44">
        <f t="shared" ref="P116:W116" si="67">SUM(P2:P115)</f>
        <v>2.372827</v>
      </c>
      <c r="Q116" s="44">
        <f t="shared" si="67"/>
        <v>7.8204999999999997E-2</v>
      </c>
      <c r="R116" s="44">
        <f t="shared" si="67"/>
        <v>0.871</v>
      </c>
      <c r="S116" s="44">
        <f t="shared" si="67"/>
        <v>0</v>
      </c>
      <c r="T116" s="44">
        <f t="shared" si="67"/>
        <v>0.28699999999999998</v>
      </c>
      <c r="U116" s="44">
        <f t="shared" si="67"/>
        <v>0</v>
      </c>
      <c r="V116" s="44">
        <f t="shared" si="67"/>
        <v>0</v>
      </c>
      <c r="W116" s="44">
        <f t="shared" si="67"/>
        <v>0.22168599999999999</v>
      </c>
      <c r="X116" s="53"/>
      <c r="Y116" s="53"/>
      <c r="Z116" s="37"/>
      <c r="AA116" s="37"/>
      <c r="AB116" s="40"/>
      <c r="AC116" s="53"/>
      <c r="AD116" s="53"/>
      <c r="AE116" s="53"/>
      <c r="AF116" s="53"/>
      <c r="AG116" s="53"/>
      <c r="AH116" s="53"/>
      <c r="AI116" s="40"/>
      <c r="AJ116" s="40"/>
      <c r="AK116" s="40"/>
      <c r="AL116" s="53"/>
      <c r="AM116" s="53"/>
      <c r="AN116" s="53"/>
      <c r="AO116" s="53"/>
      <c r="AP116" s="53"/>
      <c r="AQ116" s="53"/>
      <c r="AR116" s="53"/>
      <c r="AS116" s="53"/>
      <c r="AT116" s="53"/>
      <c r="AU116" s="53"/>
    </row>
    <row r="119" spans="1:54" x14ac:dyDescent="0.2">
      <c r="A119" s="2" t="s">
        <v>66</v>
      </c>
      <c r="L119" s="25">
        <f>SUMIF(G2:G115,"=1",L2:L115)</f>
        <v>17.035688</v>
      </c>
    </row>
    <row r="120" spans="1:54" x14ac:dyDescent="0.2">
      <c r="A120" s="2" t="s">
        <v>792</v>
      </c>
      <c r="L120" s="25">
        <f>SUMIF(H2:H115,"=1",L2:L115)</f>
        <v>2.5380000000000003</v>
      </c>
    </row>
    <row r="121" spans="1:54" x14ac:dyDescent="0.2">
      <c r="A121" s="2" t="s">
        <v>489</v>
      </c>
      <c r="K121" s="25">
        <f>E116-G116-H116</f>
        <v>72</v>
      </c>
      <c r="L121" s="25">
        <f>L116-L119-L120</f>
        <v>21.234126999999983</v>
      </c>
    </row>
  </sheetData>
  <sortState ref="A2:BC115">
    <sortCondition ref="A2:A115"/>
  </sortState>
  <pageMargins left="0.7" right="0.7" top="0.75" bottom="0.75" header="0.3" footer="0.3"/>
  <pageSetup paperSize="9" orientation="portrait" horizontalDpi="4294967292" verticalDpi="4294967292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zoomScale="85" zoomScaleNormal="85" workbookViewId="0">
      <selection activeCell="B19" sqref="B19"/>
    </sheetView>
  </sheetViews>
  <sheetFormatPr defaultColWidth="8.75" defaultRowHeight="14.25" x14ac:dyDescent="0.2"/>
  <cols>
    <col min="1" max="1" width="35.5" style="109" customWidth="1"/>
    <col min="2" max="2" width="9.875" style="110" customWidth="1"/>
    <col min="3" max="3" width="9.125" style="110" customWidth="1"/>
    <col min="4" max="4" width="8.125" style="110" customWidth="1"/>
    <col min="5" max="6" width="11.625" style="110" customWidth="1"/>
    <col min="7" max="7" width="7.75" style="111" customWidth="1"/>
    <col min="8" max="8" width="7.25" style="111" customWidth="1"/>
    <col min="9" max="9" width="7.625" style="112" customWidth="1"/>
    <col min="10" max="10" width="10" style="112" customWidth="1"/>
    <col min="11" max="11" width="8.75" style="110" bestFit="1" customWidth="1"/>
    <col min="12" max="12" width="8.875" style="110" customWidth="1"/>
    <col min="13" max="13" width="11.125" style="110" customWidth="1"/>
    <col min="14" max="14" width="6.625" style="110" customWidth="1"/>
    <col min="15" max="16" width="10.375" style="110" bestFit="1" customWidth="1"/>
    <col min="17" max="18" width="10.125" style="112" customWidth="1"/>
    <col min="19" max="19" width="11.75" style="112" bestFit="1" customWidth="1"/>
    <col min="20" max="21" width="11.625" style="110" customWidth="1"/>
    <col min="22" max="22" width="11.875" style="110" customWidth="1"/>
    <col min="23" max="24" width="7.375" style="110" customWidth="1"/>
    <col min="25" max="25" width="12.125" style="110" customWidth="1"/>
    <col min="26" max="26" width="12.625" style="110" bestFit="1" customWidth="1"/>
    <col min="27" max="28" width="12.125" style="110" bestFit="1" customWidth="1"/>
    <col min="29" max="29" width="11.625" style="109" bestFit="1" customWidth="1"/>
    <col min="30" max="33" width="8.75" style="109"/>
    <col min="34" max="34" width="12" style="109" bestFit="1" customWidth="1"/>
    <col min="35" max="16384" width="8.75" style="109"/>
  </cols>
  <sheetData>
    <row r="1" spans="1:1" ht="15" x14ac:dyDescent="0.25">
      <c r="A1" s="113" t="s">
        <v>155</v>
      </c>
    </row>
    <row r="3" spans="1:1" x14ac:dyDescent="0.2">
      <c r="A3" s="109" t="s">
        <v>1007</v>
      </c>
    </row>
    <row r="4" spans="1:1" x14ac:dyDescent="0.2">
      <c r="A4" s="109" t="s">
        <v>1008</v>
      </c>
    </row>
    <row r="5" spans="1:1" x14ac:dyDescent="0.2">
      <c r="A5" s="109" t="s">
        <v>1009</v>
      </c>
    </row>
    <row r="6" spans="1:1" x14ac:dyDescent="0.2">
      <c r="A6" s="109" t="s">
        <v>1010</v>
      </c>
    </row>
    <row r="7" spans="1:1" x14ac:dyDescent="0.2">
      <c r="A7" s="109" t="s">
        <v>1011</v>
      </c>
    </row>
    <row r="8" spans="1:1" x14ac:dyDescent="0.2">
      <c r="A8" s="109" t="s">
        <v>1012</v>
      </c>
    </row>
    <row r="10" spans="1:1" x14ac:dyDescent="0.2">
      <c r="A10" s="109" t="s">
        <v>1013</v>
      </c>
    </row>
  </sheetData>
  <pageMargins left="0.7" right="0.7" top="0.75" bottom="0.75" header="0.3" footer="0.3"/>
  <pageSetup paperSize="9" orientation="portrait" horizontalDpi="4294967292" vertic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13"/>
  <sheetViews>
    <sheetView zoomScale="85" zoomScaleNormal="85" workbookViewId="0">
      <pane xSplit="1" ySplit="1" topLeftCell="AQ2" activePane="bottomRight" state="frozen"/>
      <selection pane="topRight" activeCell="B1" sqref="B1"/>
      <selection pane="bottomLeft" activeCell="A2" sqref="A2"/>
      <selection pane="bottomRight" activeCell="F19" sqref="F19"/>
    </sheetView>
  </sheetViews>
  <sheetFormatPr defaultColWidth="8.75" defaultRowHeight="14.25" x14ac:dyDescent="0.2"/>
  <cols>
    <col min="1" max="1" width="35.5" style="2" customWidth="1"/>
    <col min="2" max="4" width="6.5" style="2" customWidth="1"/>
    <col min="5" max="5" width="6.25" style="2" bestFit="1" customWidth="1"/>
    <col min="6" max="9" width="6.25" style="2" customWidth="1"/>
    <col min="10" max="10" width="9.875" style="25" customWidth="1"/>
    <col min="11" max="11" width="9.125" style="25" customWidth="1"/>
    <col min="12" max="12" width="8.125" style="25" customWidth="1"/>
    <col min="13" max="13" width="9.375" style="26" customWidth="1"/>
    <col min="14" max="14" width="8.75" style="26" customWidth="1"/>
    <col min="15" max="16" width="10.75" style="26" customWidth="1"/>
    <col min="17" max="17" width="8.375" style="26" bestFit="1" customWidth="1"/>
    <col min="18" max="18" width="8.375" style="26" customWidth="1"/>
    <col min="19" max="19" width="11" style="26" customWidth="1"/>
    <col min="20" max="20" width="10.75" style="26" customWidth="1"/>
    <col min="21" max="21" width="10.375" style="26" bestFit="1" customWidth="1"/>
    <col min="22" max="22" width="7.375" style="26" customWidth="1"/>
    <col min="23" max="23" width="9.375" style="26" customWidth="1"/>
    <col min="24" max="24" width="11" style="26" customWidth="1"/>
    <col min="25" max="27" width="11.625" style="26" customWidth="1"/>
    <col min="28" max="28" width="7.75" style="31" customWidth="1"/>
    <col min="29" max="29" width="7.25" style="31" customWidth="1"/>
    <col min="30" max="30" width="10" style="41" customWidth="1"/>
    <col min="31" max="31" width="8.75" style="25" bestFit="1" customWidth="1"/>
    <col min="32" max="32" width="8.875" style="25" customWidth="1"/>
    <col min="33" max="33" width="11.125" style="25" customWidth="1"/>
    <col min="34" max="34" width="6.625" style="25" customWidth="1"/>
    <col min="35" max="36" width="10.375" style="26" bestFit="1" customWidth="1"/>
    <col min="37" max="38" width="10.125" style="35" customWidth="1"/>
    <col min="39" max="39" width="11.75" style="35" bestFit="1" customWidth="1"/>
    <col min="40" max="41" width="11.625" style="26" customWidth="1"/>
    <col min="42" max="42" width="11.875" style="26" customWidth="1"/>
    <col min="43" max="43" width="7.375" style="26" customWidth="1"/>
    <col min="44" max="44" width="8.75" style="26" customWidth="1"/>
    <col min="45" max="45" width="7.375" style="26" customWidth="1"/>
    <col min="46" max="46" width="12.125" style="26" customWidth="1"/>
    <col min="47" max="47" width="12.625" style="26" bestFit="1" customWidth="1"/>
    <col min="48" max="48" width="12.125" style="26" bestFit="1" customWidth="1"/>
    <col min="49" max="49" width="12.125" style="25" bestFit="1" customWidth="1"/>
    <col min="50" max="50" width="11.625" style="5" bestFit="1" customWidth="1"/>
    <col min="51" max="54" width="8.75" style="2"/>
    <col min="55" max="55" width="12" style="2" bestFit="1" customWidth="1"/>
    <col min="56" max="16384" width="8.75" style="2"/>
  </cols>
  <sheetData>
    <row r="1" spans="1:57" s="3" customFormat="1" ht="128.25" x14ac:dyDescent="0.2">
      <c r="A1" s="3" t="s">
        <v>947</v>
      </c>
      <c r="B1" s="3" t="s">
        <v>457</v>
      </c>
      <c r="C1" s="3" t="s">
        <v>459</v>
      </c>
      <c r="D1" s="3" t="s">
        <v>458</v>
      </c>
      <c r="E1" s="3" t="s">
        <v>1</v>
      </c>
      <c r="F1" s="3" t="s">
        <v>212</v>
      </c>
      <c r="G1" s="3" t="s">
        <v>213</v>
      </c>
      <c r="H1" s="3" t="s">
        <v>214</v>
      </c>
      <c r="I1" s="3" t="s">
        <v>401</v>
      </c>
      <c r="J1" s="22" t="s">
        <v>2</v>
      </c>
      <c r="K1" s="22" t="s">
        <v>4</v>
      </c>
      <c r="L1" s="22" t="s">
        <v>8</v>
      </c>
      <c r="M1" s="23" t="s">
        <v>471</v>
      </c>
      <c r="N1" s="23" t="s">
        <v>44</v>
      </c>
      <c r="O1" s="23" t="s">
        <v>451</v>
      </c>
      <c r="P1" s="23" t="s">
        <v>450</v>
      </c>
      <c r="Q1" s="23" t="s">
        <v>43</v>
      </c>
      <c r="R1" s="23" t="s">
        <v>452</v>
      </c>
      <c r="S1" s="23" t="s">
        <v>9</v>
      </c>
      <c r="T1" s="23" t="s">
        <v>10</v>
      </c>
      <c r="U1" s="23" t="s">
        <v>12</v>
      </c>
      <c r="V1" s="23" t="s">
        <v>13</v>
      </c>
      <c r="W1" s="23" t="s">
        <v>45</v>
      </c>
      <c r="X1" s="23" t="s">
        <v>42</v>
      </c>
      <c r="Y1" s="23" t="s">
        <v>41</v>
      </c>
      <c r="Z1" s="23" t="s">
        <v>62</v>
      </c>
      <c r="AA1" s="23" t="s">
        <v>453</v>
      </c>
      <c r="AB1" s="29" t="s">
        <v>454</v>
      </c>
      <c r="AC1" s="29" t="s">
        <v>445</v>
      </c>
      <c r="AD1" s="103" t="s">
        <v>15</v>
      </c>
      <c r="AE1" s="22" t="s">
        <v>16</v>
      </c>
      <c r="AF1" s="22" t="s">
        <v>446</v>
      </c>
      <c r="AG1" s="22" t="s">
        <v>21</v>
      </c>
      <c r="AH1" s="22" t="s">
        <v>19</v>
      </c>
      <c r="AI1" s="23" t="s">
        <v>14</v>
      </c>
      <c r="AJ1" s="23" t="s">
        <v>444</v>
      </c>
      <c r="AK1" s="39" t="s">
        <v>441</v>
      </c>
      <c r="AL1" s="39" t="s">
        <v>442</v>
      </c>
      <c r="AM1" s="39" t="s">
        <v>3</v>
      </c>
      <c r="AN1" s="23" t="s">
        <v>443</v>
      </c>
      <c r="AO1" s="23" t="s">
        <v>463</v>
      </c>
      <c r="AP1" s="23" t="s">
        <v>34</v>
      </c>
      <c r="AQ1" s="23" t="s">
        <v>33</v>
      </c>
      <c r="AR1" s="23" t="s">
        <v>18</v>
      </c>
      <c r="AS1" s="23"/>
      <c r="AT1" s="23" t="s">
        <v>464</v>
      </c>
      <c r="AU1" s="23" t="s">
        <v>22</v>
      </c>
      <c r="AV1" s="23" t="s">
        <v>23</v>
      </c>
      <c r="AW1" s="22" t="s">
        <v>17</v>
      </c>
      <c r="AX1" s="61" t="s">
        <v>11</v>
      </c>
      <c r="AY1" s="3" t="s">
        <v>411</v>
      </c>
      <c r="AZ1" s="3" t="s">
        <v>412</v>
      </c>
      <c r="BB1" s="3" t="s">
        <v>465</v>
      </c>
      <c r="BC1" s="3" t="s">
        <v>447</v>
      </c>
      <c r="BE1" s="3" t="s">
        <v>448</v>
      </c>
    </row>
    <row r="2" spans="1:57" x14ac:dyDescent="0.2">
      <c r="A2" s="2" t="s">
        <v>369</v>
      </c>
      <c r="E2" s="2" t="s">
        <v>502</v>
      </c>
      <c r="F2" s="2">
        <v>0</v>
      </c>
      <c r="G2" s="2">
        <v>0</v>
      </c>
      <c r="H2" s="2">
        <v>0</v>
      </c>
      <c r="I2" s="2">
        <v>0</v>
      </c>
      <c r="J2" s="25">
        <v>563.65853100000004</v>
      </c>
      <c r="K2" s="25">
        <v>563.65853100000004</v>
      </c>
      <c r="L2" s="25">
        <f t="shared" ref="L2:L6" si="0">SUM(N2:R2)</f>
        <v>143.5</v>
      </c>
      <c r="M2" s="26">
        <v>117</v>
      </c>
      <c r="N2" s="26">
        <f>SUM(S2:W2)</f>
        <v>143.5</v>
      </c>
      <c r="W2" s="26">
        <v>143.5</v>
      </c>
      <c r="AA2" s="31">
        <f t="shared" ref="AA2:AA12" si="1">IF(K2&gt;0,(K2-Z2)/(J2-Z2),(L2-Z2)/(J2-Z2))</f>
        <v>1</v>
      </c>
      <c r="AB2" s="31">
        <f t="shared" ref="AB2:AB12" si="2">(L2-Z2)/(J2-Z2)</f>
        <v>0.25458676150153042</v>
      </c>
      <c r="AC2" s="31">
        <f t="shared" ref="AC2:AC12" si="3">AB2/AA2</f>
        <v>0.25458676150153042</v>
      </c>
      <c r="AD2" s="41">
        <v>67</v>
      </c>
      <c r="AG2" s="25">
        <f>AC2*AF2</f>
        <v>0</v>
      </c>
      <c r="AH2" s="25">
        <f>21/AD2</f>
        <v>0.31343283582089554</v>
      </c>
      <c r="AM2" s="35">
        <v>401</v>
      </c>
      <c r="AN2" s="26">
        <f t="shared" ref="AN2:AN6" si="4">SUM(AI2:AJ2)</f>
        <v>0</v>
      </c>
      <c r="AO2" s="26" t="e">
        <f t="shared" ref="AO2:AO6" si="5">AN2*AG2/AE2</f>
        <v>#DIV/0!</v>
      </c>
      <c r="AP2" s="26">
        <f>6.725682+3.248202+5.060917</f>
        <v>15.034801</v>
      </c>
      <c r="AQ2" s="26">
        <v>10.538479000000001</v>
      </c>
      <c r="AR2" s="26">
        <v>41.914043999999997</v>
      </c>
      <c r="AT2" s="26">
        <f t="shared" ref="AT2:AT10" si="6">IF(AU2&gt;0,0,MAX(0,(AN2-0.8*AQ2)*AB2))</f>
        <v>0</v>
      </c>
      <c r="AU2" s="26">
        <f>AP2*AB2</f>
        <v>3.8276612964099712</v>
      </c>
      <c r="AV2" s="26">
        <f>AQ2*AB2</f>
        <v>2.6829572397618868</v>
      </c>
      <c r="AW2" s="25">
        <f t="shared" ref="AW2:AW7" si="7">SUM(AT2:AV2)</f>
        <v>6.510618536171858</v>
      </c>
      <c r="AX2" s="66">
        <f t="shared" ref="AX2:AX10" si="8">AW2/L2</f>
        <v>4.5370164015134898E-2</v>
      </c>
      <c r="AY2" s="2">
        <v>0</v>
      </c>
      <c r="AZ2" s="2">
        <v>0</v>
      </c>
      <c r="BB2" s="2">
        <f t="shared" ref="BB2:BB10" si="9">MAX(0,(AN2-0.8*AQ2)*AB2)</f>
        <v>0</v>
      </c>
      <c r="BC2" s="26">
        <f t="shared" ref="BC2:BC6" si="10">BB2+AV2</f>
        <v>2.6829572397618868</v>
      </c>
      <c r="BD2" s="72">
        <f t="shared" ref="BD2:BD13" si="11">BC2/L2</f>
        <v>1.8696566130744857E-2</v>
      </c>
    </row>
    <row r="3" spans="1:57" x14ac:dyDescent="0.2">
      <c r="A3" s="2" t="s">
        <v>155</v>
      </c>
      <c r="E3" s="2" t="s">
        <v>502</v>
      </c>
      <c r="F3" s="2">
        <v>0</v>
      </c>
      <c r="G3" s="2">
        <v>0</v>
      </c>
      <c r="H3" s="2">
        <v>0</v>
      </c>
      <c r="I3" s="2">
        <v>0</v>
      </c>
      <c r="J3" s="25">
        <v>601.33900000000006</v>
      </c>
      <c r="K3" s="25">
        <f>330.758+18.427</f>
        <v>349.185</v>
      </c>
      <c r="L3" s="25">
        <v>215.40600000000001</v>
      </c>
      <c r="M3" s="26">
        <v>212.17400000000001</v>
      </c>
      <c r="AA3" s="31">
        <f t="shared" si="1"/>
        <v>0.58067911776884584</v>
      </c>
      <c r="AB3" s="31">
        <f t="shared" si="2"/>
        <v>0.35821059335915345</v>
      </c>
      <c r="AC3" s="31">
        <f t="shared" si="3"/>
        <v>0.61688216847802735</v>
      </c>
      <c r="AD3" s="41">
        <v>272</v>
      </c>
      <c r="AE3" s="25">
        <v>272</v>
      </c>
      <c r="AF3" s="25">
        <f>AA3*AE3</f>
        <v>157.94472003312606</v>
      </c>
      <c r="AG3" s="25">
        <f>AB3*AE3</f>
        <v>97.43328139368974</v>
      </c>
      <c r="AH3" s="108">
        <f>89/272</f>
        <v>0.32720588235294118</v>
      </c>
      <c r="AI3" s="26">
        <v>129.83199999999999</v>
      </c>
      <c r="AJ3" s="26">
        <f>48.905-12.059</f>
        <v>36.846000000000004</v>
      </c>
      <c r="AM3" s="35">
        <v>134000</v>
      </c>
      <c r="AN3" s="26">
        <f t="shared" si="4"/>
        <v>166.678</v>
      </c>
      <c r="AO3" s="26">
        <f t="shared" si="5"/>
        <v>59.705825279916979</v>
      </c>
      <c r="AP3" s="26">
        <f>38.856+21.402+18.427</f>
        <v>78.685000000000002</v>
      </c>
      <c r="AQ3" s="26">
        <v>18.247</v>
      </c>
      <c r="AT3" s="26">
        <f t="shared" si="6"/>
        <v>0</v>
      </c>
      <c r="AU3" s="26">
        <f>AP3*AC3</f>
        <v>48.539373426693587</v>
      </c>
      <c r="AV3" s="26">
        <f>AQ3*AB3</f>
        <v>6.5362686970244726</v>
      </c>
      <c r="AW3" s="25">
        <f t="shared" si="7"/>
        <v>55.075642123718062</v>
      </c>
      <c r="AX3" s="66">
        <f t="shared" si="8"/>
        <v>0.25568295276695197</v>
      </c>
      <c r="AY3" s="2">
        <v>0</v>
      </c>
      <c r="AZ3" s="2">
        <v>0</v>
      </c>
      <c r="BB3" s="2">
        <f t="shared" si="9"/>
        <v>54.476810322297396</v>
      </c>
      <c r="BC3" s="26">
        <f t="shared" si="10"/>
        <v>61.013079019321871</v>
      </c>
      <c r="BD3" s="72">
        <f t="shared" si="11"/>
        <v>0.28324688736303477</v>
      </c>
      <c r="BE3" s="2" t="s">
        <v>994</v>
      </c>
    </row>
    <row r="4" spans="1:57" x14ac:dyDescent="0.2">
      <c r="A4" s="2" t="s">
        <v>60</v>
      </c>
      <c r="E4" s="2" t="s">
        <v>502</v>
      </c>
      <c r="F4" s="2">
        <v>0</v>
      </c>
      <c r="G4" s="2">
        <v>0</v>
      </c>
      <c r="H4" s="2">
        <v>0</v>
      </c>
      <c r="I4" s="2">
        <v>0</v>
      </c>
      <c r="J4" s="25">
        <v>122.408</v>
      </c>
      <c r="K4" s="25">
        <v>122.408</v>
      </c>
      <c r="L4" s="25">
        <f t="shared" si="0"/>
        <v>90.297000000000011</v>
      </c>
      <c r="M4" s="26">
        <v>55.034351999999998</v>
      </c>
      <c r="N4" s="26">
        <f>SUM(S4:W4)</f>
        <v>87.352000000000004</v>
      </c>
      <c r="O4" s="26">
        <f>1.535+0.066+0.049</f>
        <v>1.65</v>
      </c>
      <c r="Q4" s="26">
        <v>1.2949999999999999</v>
      </c>
      <c r="W4" s="26">
        <v>87.352000000000004</v>
      </c>
      <c r="AA4" s="31">
        <f t="shared" si="1"/>
        <v>1</v>
      </c>
      <c r="AB4" s="31">
        <f t="shared" si="2"/>
        <v>0.73767237435461741</v>
      </c>
      <c r="AC4" s="31">
        <f t="shared" si="3"/>
        <v>0.73767237435461741</v>
      </c>
      <c r="AD4" s="41">
        <v>77.8</v>
      </c>
      <c r="AE4" s="25">
        <v>51.5</v>
      </c>
      <c r="AF4" s="25">
        <f>AA4*AE4</f>
        <v>51.5</v>
      </c>
      <c r="AG4" s="25">
        <f>AB4*AE4</f>
        <v>37.990127279262794</v>
      </c>
      <c r="AH4" s="25">
        <v>0</v>
      </c>
      <c r="AI4" s="26">
        <v>14.782</v>
      </c>
      <c r="AJ4" s="26">
        <v>9.7159999999999993</v>
      </c>
      <c r="AN4" s="26">
        <f t="shared" si="4"/>
        <v>24.497999999999998</v>
      </c>
      <c r="AO4" s="26">
        <f t="shared" si="5"/>
        <v>18.071497826939414</v>
      </c>
      <c r="AT4" s="26">
        <f t="shared" si="6"/>
        <v>18.071497826939414</v>
      </c>
      <c r="AU4" s="26">
        <f>AP4*AB4</f>
        <v>0</v>
      </c>
      <c r="AW4" s="25">
        <f t="shared" si="7"/>
        <v>18.071497826939414</v>
      </c>
      <c r="AX4" s="66">
        <f t="shared" si="8"/>
        <v>0.2001339781713613</v>
      </c>
      <c r="AY4" s="2">
        <v>0</v>
      </c>
      <c r="AZ4" s="2">
        <v>0</v>
      </c>
      <c r="BB4" s="2">
        <f t="shared" si="9"/>
        <v>18.071497826939414</v>
      </c>
      <c r="BC4" s="26">
        <f t="shared" si="10"/>
        <v>18.071497826939414</v>
      </c>
      <c r="BD4" s="72">
        <f t="shared" si="11"/>
        <v>0.2001339781713613</v>
      </c>
    </row>
    <row r="5" spans="1:57" x14ac:dyDescent="0.2">
      <c r="A5" s="2" t="s">
        <v>67</v>
      </c>
      <c r="E5" s="2" t="s">
        <v>502</v>
      </c>
      <c r="F5" s="2">
        <v>0</v>
      </c>
      <c r="G5" s="2">
        <v>0</v>
      </c>
      <c r="H5" s="2">
        <v>0</v>
      </c>
      <c r="I5" s="2">
        <v>0</v>
      </c>
      <c r="J5" s="25">
        <v>65.492349000000004</v>
      </c>
      <c r="K5" s="25">
        <v>65.492349000000004</v>
      </c>
      <c r="L5" s="25">
        <f t="shared" si="0"/>
        <v>16.556837000000002</v>
      </c>
      <c r="N5" s="26">
        <f>SUM(S5:W5)</f>
        <v>0</v>
      </c>
      <c r="R5" s="26">
        <f>11.5555+5.001337</f>
        <v>16.556837000000002</v>
      </c>
      <c r="AA5" s="31">
        <f t="shared" si="1"/>
        <v>1</v>
      </c>
      <c r="AB5" s="31">
        <f t="shared" si="2"/>
        <v>0.2528056674223122</v>
      </c>
      <c r="AC5" s="31">
        <f t="shared" si="3"/>
        <v>0.2528056674223122</v>
      </c>
      <c r="AD5" s="41">
        <v>292</v>
      </c>
      <c r="AE5" s="25">
        <v>7</v>
      </c>
      <c r="AF5" s="25">
        <f>AA5*AE5</f>
        <v>7</v>
      </c>
      <c r="AG5" s="25">
        <f>AB5*AE5</f>
        <v>1.7696396719561853</v>
      </c>
      <c r="AH5" s="25">
        <v>0</v>
      </c>
      <c r="AI5" s="26">
        <v>3.2305959999999998</v>
      </c>
      <c r="AJ5" s="26">
        <v>1.677198</v>
      </c>
      <c r="AN5" s="26">
        <f t="shared" si="4"/>
        <v>4.907794</v>
      </c>
      <c r="AO5" s="26">
        <f t="shared" si="5"/>
        <v>1.2407181377412191</v>
      </c>
      <c r="AQ5" s="26">
        <v>8.3974309999999992</v>
      </c>
      <c r="AT5" s="26">
        <f t="shared" si="6"/>
        <v>0</v>
      </c>
      <c r="AU5" s="26">
        <f>AP5*AB5</f>
        <v>0</v>
      </c>
      <c r="AV5" s="26">
        <f>AQ5*AB5</f>
        <v>2.1229181485878144</v>
      </c>
      <c r="AW5" s="25">
        <f t="shared" si="7"/>
        <v>2.1229181485878144</v>
      </c>
      <c r="AX5" s="66">
        <f t="shared" si="8"/>
        <v>0.12822003070923596</v>
      </c>
      <c r="AY5" s="2">
        <v>0</v>
      </c>
      <c r="AZ5" s="2">
        <v>0</v>
      </c>
      <c r="BB5" s="2">
        <f t="shared" si="9"/>
        <v>0</v>
      </c>
      <c r="BC5" s="26">
        <f t="shared" si="10"/>
        <v>2.1229181485878144</v>
      </c>
      <c r="BD5" s="72">
        <f t="shared" si="11"/>
        <v>0.12822003070923596</v>
      </c>
    </row>
    <row r="6" spans="1:57" x14ac:dyDescent="0.2">
      <c r="A6" s="2" t="s">
        <v>154</v>
      </c>
      <c r="E6" s="2" t="s">
        <v>502</v>
      </c>
      <c r="F6" s="2">
        <v>0</v>
      </c>
      <c r="G6" s="2">
        <v>0</v>
      </c>
      <c r="H6" s="2">
        <v>0</v>
      </c>
      <c r="I6" s="2">
        <v>0</v>
      </c>
      <c r="J6" s="25">
        <v>61.645668000000001</v>
      </c>
      <c r="K6" s="25">
        <v>61.645668000000001</v>
      </c>
      <c r="L6" s="25">
        <f t="shared" si="0"/>
        <v>46.689865000000005</v>
      </c>
      <c r="M6" s="26">
        <v>38.875556000000003</v>
      </c>
      <c r="N6" s="26">
        <f>SUM(S6:W6)</f>
        <v>43.496061000000005</v>
      </c>
      <c r="R6" s="26">
        <v>3.1938040000000001</v>
      </c>
      <c r="U6" s="26">
        <v>0.14676800000000001</v>
      </c>
      <c r="W6" s="26">
        <v>43.349293000000003</v>
      </c>
      <c r="Y6" s="26">
        <v>-6</v>
      </c>
      <c r="AA6" s="31">
        <f t="shared" si="1"/>
        <v>1</v>
      </c>
      <c r="AB6" s="31">
        <f t="shared" si="2"/>
        <v>0.75739085186002042</v>
      </c>
      <c r="AC6" s="31">
        <f t="shared" si="3"/>
        <v>0.75739085186002042</v>
      </c>
      <c r="AD6" s="41">
        <f>20+8</f>
        <v>28</v>
      </c>
      <c r="AE6" s="25">
        <v>20</v>
      </c>
      <c r="AF6" s="25">
        <f>AA6*AE6</f>
        <v>20</v>
      </c>
      <c r="AG6" s="25">
        <f>AB6*AE6</f>
        <v>15.147817037200408</v>
      </c>
      <c r="AH6" s="25">
        <f>7/AF6</f>
        <v>0.35</v>
      </c>
      <c r="AI6" s="26">
        <v>8.2758939999999992</v>
      </c>
      <c r="AN6" s="26">
        <f t="shared" si="4"/>
        <v>8.2758939999999992</v>
      </c>
      <c r="AO6" s="26">
        <f t="shared" si="5"/>
        <v>6.2680864065632313</v>
      </c>
      <c r="AQ6" s="26">
        <v>2.5840580000000002</v>
      </c>
      <c r="AT6" s="26">
        <f t="shared" si="6"/>
        <v>4.7023728946626706</v>
      </c>
      <c r="AU6" s="26">
        <f>AP6*AB6</f>
        <v>0</v>
      </c>
      <c r="AV6" s="26">
        <f>AQ6*AB6</f>
        <v>1.9571418898757007</v>
      </c>
      <c r="AW6" s="25">
        <f t="shared" si="7"/>
        <v>6.6595147845383718</v>
      </c>
      <c r="AX6" s="66">
        <f t="shared" si="8"/>
        <v>0.1426329843647732</v>
      </c>
      <c r="AY6" s="2">
        <v>0</v>
      </c>
      <c r="AZ6" s="2">
        <v>0</v>
      </c>
      <c r="BB6" s="2">
        <f t="shared" si="9"/>
        <v>4.7023728946626706</v>
      </c>
      <c r="BC6" s="26">
        <f t="shared" si="10"/>
        <v>6.6595147845383718</v>
      </c>
      <c r="BD6" s="72">
        <f t="shared" si="11"/>
        <v>0.1426329843647732</v>
      </c>
    </row>
    <row r="7" spans="1:57" x14ac:dyDescent="0.2">
      <c r="A7" s="18" t="s">
        <v>432</v>
      </c>
      <c r="E7" s="2" t="s">
        <v>502</v>
      </c>
      <c r="F7" s="2">
        <v>0</v>
      </c>
      <c r="G7" s="2">
        <v>0</v>
      </c>
      <c r="H7" s="2">
        <v>0</v>
      </c>
      <c r="I7" s="2">
        <v>0</v>
      </c>
      <c r="J7" s="5">
        <v>23.073485000000002</v>
      </c>
      <c r="K7" s="5">
        <v>23.073485000000002</v>
      </c>
      <c r="L7" s="11">
        <v>12.087999999999999</v>
      </c>
      <c r="M7" s="26">
        <v>11.3</v>
      </c>
      <c r="N7" s="26">
        <v>12.087999999999999</v>
      </c>
      <c r="AA7" s="31">
        <f t="shared" si="1"/>
        <v>1</v>
      </c>
      <c r="AB7" s="31">
        <f t="shared" si="2"/>
        <v>0.52389138441808847</v>
      </c>
      <c r="AC7" s="31">
        <f t="shared" si="3"/>
        <v>0.52389138441808847</v>
      </c>
      <c r="AD7" s="5">
        <v>57</v>
      </c>
      <c r="AE7" s="5">
        <v>5</v>
      </c>
      <c r="AF7" s="5">
        <v>5</v>
      </c>
      <c r="AG7" s="25">
        <f>AB7*AE7</f>
        <v>2.6194569220904422</v>
      </c>
      <c r="AH7" s="5">
        <v>0</v>
      </c>
      <c r="AI7" s="26">
        <v>3.1294240000000002</v>
      </c>
      <c r="AN7" s="26">
        <f t="shared" ref="AN7" si="12">SUM(AI7:AJ7)</f>
        <v>3.1294240000000002</v>
      </c>
      <c r="AO7" s="26">
        <f t="shared" ref="AO7" si="13">AN7*AG7/AE7</f>
        <v>1.6394782717911922</v>
      </c>
      <c r="AQ7" s="26">
        <v>1.7629999999999999</v>
      </c>
      <c r="AT7" s="26">
        <f t="shared" si="6"/>
        <v>0.90058186320792022</v>
      </c>
      <c r="AU7" s="26">
        <f>AP7*AB7</f>
        <v>0</v>
      </c>
      <c r="AV7" s="26">
        <f>AQ7*AB7</f>
        <v>0.92362051072908991</v>
      </c>
      <c r="AW7" s="25">
        <f t="shared" si="7"/>
        <v>1.8242023739370101</v>
      </c>
      <c r="AX7" s="66">
        <f t="shared" si="8"/>
        <v>0.15091018976977252</v>
      </c>
      <c r="BB7" s="2">
        <f t="shared" si="9"/>
        <v>0.90058186320792022</v>
      </c>
      <c r="BC7" s="26">
        <f t="shared" ref="BC7" si="14">BB7+AV7</f>
        <v>1.8242023739370101</v>
      </c>
      <c r="BD7" s="72">
        <f t="shared" si="11"/>
        <v>0.15091018976977252</v>
      </c>
    </row>
    <row r="8" spans="1:57" x14ac:dyDescent="0.2">
      <c r="A8" s="2" t="s">
        <v>456</v>
      </c>
      <c r="D8" s="2">
        <v>1</v>
      </c>
      <c r="E8" s="2" t="s">
        <v>502</v>
      </c>
      <c r="F8" s="2">
        <v>0</v>
      </c>
      <c r="G8" s="2">
        <v>0</v>
      </c>
      <c r="H8" s="2">
        <v>0</v>
      </c>
      <c r="I8" s="2">
        <v>0</v>
      </c>
      <c r="J8" s="25">
        <f>K8</f>
        <v>21</v>
      </c>
      <c r="K8" s="25">
        <f>L8</f>
        <v>21</v>
      </c>
      <c r="L8" s="25">
        <f>SUM(N8:R8)</f>
        <v>21</v>
      </c>
      <c r="N8" s="26">
        <f>X8</f>
        <v>21</v>
      </c>
      <c r="X8" s="26">
        <v>21</v>
      </c>
      <c r="AA8" s="31">
        <f t="shared" si="1"/>
        <v>1</v>
      </c>
      <c r="AB8" s="31">
        <f t="shared" si="2"/>
        <v>1</v>
      </c>
      <c r="AC8" s="31">
        <f t="shared" si="3"/>
        <v>1</v>
      </c>
      <c r="AN8" s="26">
        <f>SUM(AI8:AJ8)</f>
        <v>0</v>
      </c>
      <c r="AO8" s="26" t="e">
        <f>AN8*AG8/AE8</f>
        <v>#DIV/0!</v>
      </c>
      <c r="AT8" s="26">
        <f t="shared" si="6"/>
        <v>0</v>
      </c>
      <c r="AW8" s="25">
        <f>SUM(AT8:AV8)</f>
        <v>0</v>
      </c>
      <c r="AX8" s="66">
        <f t="shared" si="8"/>
        <v>0</v>
      </c>
      <c r="AY8" s="2">
        <v>1</v>
      </c>
      <c r="AZ8" s="2">
        <v>0</v>
      </c>
      <c r="BB8" s="2">
        <f t="shared" si="9"/>
        <v>0</v>
      </c>
      <c r="BC8" s="26">
        <f>BB8+AV8</f>
        <v>0</v>
      </c>
      <c r="BD8" s="72">
        <f t="shared" si="11"/>
        <v>0</v>
      </c>
      <c r="BE8" s="2" t="s">
        <v>449</v>
      </c>
    </row>
    <row r="9" spans="1:57" x14ac:dyDescent="0.2">
      <c r="A9" s="2" t="s">
        <v>180</v>
      </c>
      <c r="E9" s="2" t="s">
        <v>502</v>
      </c>
      <c r="F9" s="2">
        <v>0</v>
      </c>
      <c r="G9" s="2">
        <v>0</v>
      </c>
      <c r="H9" s="2">
        <v>0</v>
      </c>
      <c r="I9" s="2">
        <v>0</v>
      </c>
      <c r="J9" s="25">
        <f>6.258+8.321</f>
        <v>14.579000000000001</v>
      </c>
      <c r="K9" s="25">
        <f>6.258+8.321</f>
        <v>14.579000000000001</v>
      </c>
      <c r="L9" s="25">
        <f>SUM(N9:R9)</f>
        <v>1.7250000000000001</v>
      </c>
      <c r="O9" s="26">
        <v>1.7250000000000001</v>
      </c>
      <c r="AA9" s="31">
        <f t="shared" si="1"/>
        <v>1</v>
      </c>
      <c r="AB9" s="31">
        <f t="shared" si="2"/>
        <v>0.11832087248782495</v>
      </c>
      <c r="AC9" s="31">
        <f t="shared" si="3"/>
        <v>0.11832087248782495</v>
      </c>
      <c r="AD9" s="41">
        <v>378</v>
      </c>
      <c r="AE9" s="25">
        <v>5</v>
      </c>
      <c r="AF9" s="25">
        <f>AA9*AE9</f>
        <v>5</v>
      </c>
      <c r="AG9" s="25">
        <f>AB9*AE9</f>
        <v>0.59160436243912473</v>
      </c>
      <c r="AH9" s="25">
        <f>1/5</f>
        <v>0.2</v>
      </c>
      <c r="AI9" s="26">
        <v>2.0619999999999998</v>
      </c>
      <c r="AJ9" s="26">
        <v>0.75</v>
      </c>
      <c r="AN9" s="26">
        <f>SUM(AI9:AJ9)</f>
        <v>2.8119999999999998</v>
      </c>
      <c r="AO9" s="26">
        <f>AN9*AG9/AE9</f>
        <v>0.3327182934357637</v>
      </c>
      <c r="AQ9" s="26">
        <v>1.5409999999999999</v>
      </c>
      <c r="AR9" s="26">
        <v>0.81899999999999995</v>
      </c>
      <c r="AT9" s="26">
        <f t="shared" si="6"/>
        <v>0.18685232183277314</v>
      </c>
      <c r="AU9" s="26">
        <f>AP9*AB9</f>
        <v>0</v>
      </c>
      <c r="AV9" s="26">
        <f>AQ9*AC9</f>
        <v>0.18233246450373825</v>
      </c>
      <c r="AW9" s="25">
        <f>SUM(AT9:AV9)</f>
        <v>0.36918478633651142</v>
      </c>
      <c r="AX9" s="66">
        <f t="shared" si="8"/>
        <v>0.21402016599218052</v>
      </c>
      <c r="AY9" s="2">
        <v>0</v>
      </c>
      <c r="AZ9" s="2">
        <v>0</v>
      </c>
      <c r="BB9" s="2">
        <f t="shared" si="9"/>
        <v>0.18685232183277314</v>
      </c>
      <c r="BC9" s="26">
        <f>BB9+AV9</f>
        <v>0.36918478633651142</v>
      </c>
      <c r="BD9" s="72">
        <f t="shared" si="11"/>
        <v>0.21402016599218052</v>
      </c>
    </row>
    <row r="10" spans="1:57" x14ac:dyDescent="0.2">
      <c r="A10" s="2" t="s">
        <v>156</v>
      </c>
      <c r="E10" s="2" t="s">
        <v>502</v>
      </c>
      <c r="F10" s="2">
        <v>0</v>
      </c>
      <c r="G10" s="2">
        <v>0</v>
      </c>
      <c r="H10" s="2">
        <v>0</v>
      </c>
      <c r="I10" s="2">
        <v>0</v>
      </c>
      <c r="J10" s="25">
        <v>12.923309</v>
      </c>
      <c r="K10" s="25">
        <v>12.923309</v>
      </c>
      <c r="L10" s="25">
        <f>SUM(N10:R10)</f>
        <v>2.7</v>
      </c>
      <c r="M10" s="26">
        <v>2.7</v>
      </c>
      <c r="N10" s="26">
        <f>SUM(S10:W10)</f>
        <v>2.7</v>
      </c>
      <c r="W10" s="26">
        <v>2.7</v>
      </c>
      <c r="Y10" s="26">
        <v>2.7</v>
      </c>
      <c r="AA10" s="31">
        <f t="shared" si="1"/>
        <v>1</v>
      </c>
      <c r="AB10" s="31">
        <f t="shared" si="2"/>
        <v>0.20892481948702149</v>
      </c>
      <c r="AC10" s="31">
        <f t="shared" si="3"/>
        <v>0.20892481948702149</v>
      </c>
      <c r="AD10" s="41">
        <v>7</v>
      </c>
      <c r="AE10" s="25">
        <v>7</v>
      </c>
      <c r="AF10" s="25">
        <f>AA10*AE10</f>
        <v>7</v>
      </c>
      <c r="AG10" s="25">
        <f>AB10*AE10</f>
        <v>1.4624737364091505</v>
      </c>
      <c r="AH10" s="25">
        <f>2/7</f>
        <v>0.2857142857142857</v>
      </c>
      <c r="AI10" s="26">
        <v>3.0711499999999998</v>
      </c>
      <c r="AJ10" s="26">
        <v>1.260553</v>
      </c>
      <c r="AN10" s="26">
        <f>SUM(AI10:AJ10)</f>
        <v>4.3317030000000001</v>
      </c>
      <c r="AO10" s="26">
        <f>AN10*AG10/AE10</f>
        <v>0.9050002673463895</v>
      </c>
      <c r="AQ10" s="26">
        <v>0.94003499999999995</v>
      </c>
      <c r="AT10" s="26">
        <f t="shared" si="6"/>
        <v>0.74788295319720366</v>
      </c>
      <c r="AU10" s="26">
        <f>AP10*AB10</f>
        <v>0</v>
      </c>
      <c r="AV10" s="26">
        <f>AQ10*AB10</f>
        <v>0.19639664268648224</v>
      </c>
      <c r="AW10" s="25">
        <f>SUM(AT10:AV10)</f>
        <v>0.94427959588368593</v>
      </c>
      <c r="AX10" s="66">
        <f t="shared" si="8"/>
        <v>0.34973318366062439</v>
      </c>
      <c r="AY10" s="2">
        <v>0</v>
      </c>
      <c r="AZ10" s="2">
        <v>0</v>
      </c>
      <c r="BB10" s="2">
        <f t="shared" si="9"/>
        <v>0.74788295319720366</v>
      </c>
      <c r="BC10" s="26">
        <f>BB10+AV10</f>
        <v>0.94427959588368593</v>
      </c>
      <c r="BD10" s="72">
        <f t="shared" si="11"/>
        <v>0.34973318366062439</v>
      </c>
    </row>
    <row r="11" spans="1:57" x14ac:dyDescent="0.2">
      <c r="A11" s="2" t="s">
        <v>282</v>
      </c>
      <c r="D11" s="2">
        <v>1</v>
      </c>
      <c r="E11" s="2" t="s">
        <v>502</v>
      </c>
      <c r="F11" s="2">
        <v>0</v>
      </c>
      <c r="G11" s="2">
        <v>0</v>
      </c>
      <c r="H11" s="2">
        <v>0</v>
      </c>
      <c r="I11" s="2">
        <v>0</v>
      </c>
      <c r="K11" s="25">
        <f>L11</f>
        <v>3.5911279999999999</v>
      </c>
      <c r="L11" s="25">
        <f>M11</f>
        <v>3.5911279999999999</v>
      </c>
      <c r="M11" s="26">
        <v>3.5911279999999999</v>
      </c>
      <c r="N11" s="26">
        <f>SUM(S11:W11)</f>
        <v>0</v>
      </c>
      <c r="O11" s="26">
        <v>0.30099999999999999</v>
      </c>
      <c r="AA11" s="31" t="e">
        <f t="shared" si="1"/>
        <v>#DIV/0!</v>
      </c>
      <c r="AB11" s="31" t="e">
        <f t="shared" si="2"/>
        <v>#DIV/0!</v>
      </c>
      <c r="AC11" s="31" t="e">
        <f t="shared" si="3"/>
        <v>#DIV/0!</v>
      </c>
      <c r="AN11" s="26">
        <f>SUM(AI11:AJ11)</f>
        <v>0</v>
      </c>
      <c r="AO11" s="26" t="e">
        <f>AN11*AG11/AE11</f>
        <v>#DIV/0!</v>
      </c>
      <c r="AX11" s="66"/>
      <c r="AY11" s="2">
        <v>0</v>
      </c>
      <c r="AZ11" s="2">
        <v>0</v>
      </c>
      <c r="BC11" s="26"/>
      <c r="BD11" s="72">
        <f t="shared" si="11"/>
        <v>0</v>
      </c>
    </row>
    <row r="12" spans="1:57" x14ac:dyDescent="0.2">
      <c r="A12" s="18" t="s">
        <v>434</v>
      </c>
      <c r="E12" s="2" t="s">
        <v>502</v>
      </c>
      <c r="F12" s="2">
        <v>0</v>
      </c>
      <c r="G12" s="2">
        <v>0</v>
      </c>
      <c r="H12" s="2">
        <v>0</v>
      </c>
      <c r="I12" s="2">
        <v>0</v>
      </c>
      <c r="J12" s="25">
        <v>11.278676000000001</v>
      </c>
      <c r="K12" s="25">
        <f>L12</f>
        <v>2.5</v>
      </c>
      <c r="L12" s="11">
        <v>2.5</v>
      </c>
      <c r="M12" s="2">
        <v>2.5</v>
      </c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31">
        <f t="shared" si="1"/>
        <v>0.22165722288679982</v>
      </c>
      <c r="AB12" s="31">
        <f t="shared" si="2"/>
        <v>0.22165722288679982</v>
      </c>
      <c r="AC12" s="31">
        <f t="shared" si="3"/>
        <v>1</v>
      </c>
      <c r="AD12" s="5"/>
      <c r="AE12" s="5">
        <f>18*0.7</f>
        <v>12.6</v>
      </c>
      <c r="AF12" s="25">
        <f>AA12*AE12</f>
        <v>2.7928810083736777</v>
      </c>
      <c r="AG12" s="25">
        <f>AC12*AF12</f>
        <v>2.7928810083736777</v>
      </c>
      <c r="AH12" s="5">
        <f>12/18</f>
        <v>0.66666666666666663</v>
      </c>
      <c r="AI12" s="2">
        <v>6.0242069999999996</v>
      </c>
      <c r="AJ12" s="2"/>
      <c r="AK12" s="2"/>
      <c r="AL12" s="2"/>
      <c r="AM12" s="2">
        <v>370</v>
      </c>
      <c r="AN12" s="26">
        <f>SUM(AI12:AJ12)</f>
        <v>6.0242069999999996</v>
      </c>
      <c r="AO12" s="26">
        <f>AN12*AG12/AE12</f>
        <v>1.3353089937152196</v>
      </c>
      <c r="AP12" s="2"/>
      <c r="AQ12" s="2"/>
      <c r="AR12" s="2"/>
      <c r="AS12" s="2"/>
      <c r="AT12" s="26">
        <f>IF(AU12&gt;0,0,MAX(0,(AN12-0.8*AQ12)*AB12))</f>
        <v>1.3353089937152196</v>
      </c>
      <c r="AU12" s="26">
        <f>AP12*AB12</f>
        <v>0</v>
      </c>
      <c r="AV12" s="26">
        <f>AQ12*AB12</f>
        <v>0</v>
      </c>
      <c r="AW12" s="25">
        <f>SUM(AT12:AV12)</f>
        <v>1.3353089937152196</v>
      </c>
      <c r="AX12" s="66">
        <f>AW12/L12</f>
        <v>0.53412359748608784</v>
      </c>
      <c r="AY12" s="2">
        <v>1</v>
      </c>
      <c r="AZ12" s="2">
        <v>1</v>
      </c>
      <c r="BB12" s="2">
        <f>MAX(0,(AN12-0.8*AQ12)*AB12)</f>
        <v>1.3353089937152196</v>
      </c>
      <c r="BC12" s="26">
        <f>BB12+AV12</f>
        <v>1.3353089937152196</v>
      </c>
      <c r="BD12" s="72">
        <f t="shared" si="11"/>
        <v>0.53412359748608784</v>
      </c>
      <c r="BE12" s="2" t="s">
        <v>1039</v>
      </c>
    </row>
    <row r="13" spans="1:57" s="44" customFormat="1" ht="15" x14ac:dyDescent="0.25">
      <c r="A13" s="44" t="s">
        <v>671</v>
      </c>
      <c r="B13" s="44">
        <f>SUM(B2:B12)</f>
        <v>0</v>
      </c>
      <c r="C13" s="44">
        <f>SUM(C2:C12)</f>
        <v>0</v>
      </c>
      <c r="D13" s="44">
        <f>SUM(D2:D12)</f>
        <v>2</v>
      </c>
      <c r="E13" s="44">
        <f>COUNTA(E2:E12)</f>
        <v>11</v>
      </c>
      <c r="F13" s="44">
        <f t="shared" ref="F13:Y13" si="15">SUM(F2:F12)</f>
        <v>0</v>
      </c>
      <c r="G13" s="44">
        <f t="shared" si="15"/>
        <v>0</v>
      </c>
      <c r="H13" s="44">
        <f t="shared" si="15"/>
        <v>0</v>
      </c>
      <c r="I13" s="44">
        <f t="shared" si="15"/>
        <v>0</v>
      </c>
      <c r="J13" s="80">
        <f t="shared" si="15"/>
        <v>1497.3980179999999</v>
      </c>
      <c r="K13" s="80">
        <f t="shared" si="15"/>
        <v>1240.05647</v>
      </c>
      <c r="L13" s="80">
        <f t="shared" si="15"/>
        <v>556.05383000000018</v>
      </c>
      <c r="M13" s="44">
        <f t="shared" si="15"/>
        <v>443.17503600000003</v>
      </c>
      <c r="N13" s="44">
        <f t="shared" si="15"/>
        <v>310.13606100000004</v>
      </c>
      <c r="O13" s="44">
        <f t="shared" si="15"/>
        <v>3.6760000000000002</v>
      </c>
      <c r="P13" s="44">
        <f t="shared" si="15"/>
        <v>0</v>
      </c>
      <c r="Q13" s="44">
        <f t="shared" si="15"/>
        <v>1.2949999999999999</v>
      </c>
      <c r="R13" s="44">
        <f t="shared" si="15"/>
        <v>19.750641000000002</v>
      </c>
      <c r="S13" s="44">
        <f t="shared" si="15"/>
        <v>0</v>
      </c>
      <c r="T13" s="44">
        <f t="shared" si="15"/>
        <v>0</v>
      </c>
      <c r="U13" s="44">
        <f t="shared" si="15"/>
        <v>0.14676800000000001</v>
      </c>
      <c r="V13" s="44">
        <f t="shared" si="15"/>
        <v>0</v>
      </c>
      <c r="W13" s="44">
        <f t="shared" si="15"/>
        <v>276.90129300000001</v>
      </c>
      <c r="X13" s="40">
        <f t="shared" si="15"/>
        <v>21</v>
      </c>
      <c r="Y13" s="40">
        <f t="shared" si="15"/>
        <v>-3.3</v>
      </c>
      <c r="Z13" s="53"/>
      <c r="AA13" s="53"/>
      <c r="AB13" s="37"/>
      <c r="AC13" s="37"/>
      <c r="AD13" s="104">
        <f>SUM(AD2:AD12)</f>
        <v>1178.8</v>
      </c>
      <c r="AE13" s="104">
        <f>SUM(AE2:AE12)</f>
        <v>380.1</v>
      </c>
      <c r="AF13" s="104">
        <f>SUM(AF2:AF12)</f>
        <v>256.23760104149972</v>
      </c>
      <c r="AG13" s="104">
        <f>SUM(AG2:AG12)</f>
        <v>159.80728141142151</v>
      </c>
      <c r="AH13" s="52"/>
      <c r="AI13" s="53"/>
      <c r="AJ13" s="53"/>
      <c r="AK13" s="40">
        <f>SUM(AK2:AK12)</f>
        <v>0</v>
      </c>
      <c r="AL13" s="40">
        <f>SUM(AL2:AL12)</f>
        <v>0</v>
      </c>
      <c r="AM13" s="40">
        <f>SUM(AM2:AM12)</f>
        <v>134771</v>
      </c>
      <c r="AN13" s="53"/>
      <c r="AO13" s="53"/>
      <c r="AP13" s="53"/>
      <c r="AQ13" s="53"/>
      <c r="AR13" s="53"/>
      <c r="AS13" s="53"/>
      <c r="AT13" s="53"/>
      <c r="AU13" s="53"/>
      <c r="AV13" s="53"/>
      <c r="AW13" s="52">
        <f>SUM(AW2:AW12)</f>
        <v>92.913167169827943</v>
      </c>
      <c r="AX13" s="102">
        <f>AW13/L13</f>
        <v>0.16709383544724063</v>
      </c>
      <c r="BC13" s="53">
        <f>SUM(BC2:BC12)</f>
        <v>95.022942769021796</v>
      </c>
      <c r="BD13" s="105">
        <f t="shared" si="11"/>
        <v>0.17088802853677271</v>
      </c>
    </row>
  </sheetData>
  <sortState ref="A2:BJ13">
    <sortCondition descending="1" ref="C2:C13"/>
  </sortState>
  <pageMargins left="0.7" right="0.7" top="0.75" bottom="0.75" header="0.3" footer="0.3"/>
  <pageSetup paperSize="9" orientation="portrait" horizontalDpi="4294967292" verticalDpi="4294967292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16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Q20" sqref="Q20"/>
    </sheetView>
  </sheetViews>
  <sheetFormatPr defaultColWidth="8.75" defaultRowHeight="14.25" x14ac:dyDescent="0.2"/>
  <cols>
    <col min="1" max="1" width="35.5" style="2" customWidth="1"/>
    <col min="2" max="4" width="6.5" style="2" customWidth="1"/>
    <col min="5" max="5" width="6.25" style="2" bestFit="1" customWidth="1"/>
    <col min="6" max="9" width="6.25" style="2" customWidth="1"/>
    <col min="10" max="10" width="9.875" style="25" customWidth="1"/>
    <col min="11" max="11" width="9.125" style="25" customWidth="1"/>
    <col min="12" max="12" width="8.125" style="25" customWidth="1"/>
    <col min="13" max="13" width="8.75" style="26" customWidth="1"/>
    <col min="14" max="15" width="10.75" style="26" customWidth="1"/>
    <col min="16" max="16" width="8.375" style="26" bestFit="1" customWidth="1"/>
    <col min="17" max="17" width="8.375" style="26" customWidth="1"/>
    <col min="18" max="18" width="7.375" style="26" customWidth="1"/>
    <col min="19" max="19" width="9.375" style="26" customWidth="1"/>
    <col min="20" max="21" width="11.625" style="26" customWidth="1"/>
    <col min="22" max="22" width="7.75" style="31" customWidth="1"/>
    <col min="23" max="23" width="7.25" style="31" customWidth="1"/>
    <col min="24" max="24" width="10" style="41" customWidth="1"/>
    <col min="25" max="25" width="8.75" style="25" bestFit="1" customWidth="1"/>
    <col min="26" max="26" width="9.125" style="25" customWidth="1"/>
    <col min="27" max="27" width="11.125" style="25" customWidth="1"/>
    <col min="28" max="28" width="6.625" style="25" customWidth="1"/>
    <col min="29" max="30" width="10.375" style="26" bestFit="1" customWidth="1"/>
    <col min="31" max="32" width="10.125" style="35" customWidth="1"/>
    <col min="33" max="33" width="11.75" style="35" bestFit="1" customWidth="1"/>
    <col min="34" max="35" width="11.625" style="26" customWidth="1"/>
    <col min="36" max="36" width="11.875" style="26" customWidth="1"/>
    <col min="37" max="37" width="7.375" style="26" customWidth="1"/>
    <col min="38" max="38" width="12.125" style="26" customWidth="1"/>
    <col min="39" max="40" width="12.125" style="26" bestFit="1" customWidth="1"/>
    <col min="41" max="41" width="12.125" style="25" bestFit="1" customWidth="1"/>
    <col min="42" max="42" width="11.625" style="5" bestFit="1" customWidth="1"/>
    <col min="43" max="16384" width="8.75" style="2"/>
  </cols>
  <sheetData>
    <row r="1" spans="1:49" s="3" customFormat="1" ht="128.25" x14ac:dyDescent="0.2">
      <c r="A1" s="3" t="s">
        <v>947</v>
      </c>
      <c r="B1" s="3" t="s">
        <v>457</v>
      </c>
      <c r="C1" s="3" t="s">
        <v>459</v>
      </c>
      <c r="D1" s="3" t="s">
        <v>458</v>
      </c>
      <c r="E1" s="3" t="s">
        <v>1</v>
      </c>
      <c r="F1" s="3" t="s">
        <v>212</v>
      </c>
      <c r="G1" s="3" t="s">
        <v>213</v>
      </c>
      <c r="H1" s="3" t="s">
        <v>214</v>
      </c>
      <c r="I1" s="3" t="s">
        <v>401</v>
      </c>
      <c r="J1" s="22" t="s">
        <v>2</v>
      </c>
      <c r="K1" s="22" t="s">
        <v>4</v>
      </c>
      <c r="L1" s="22" t="s">
        <v>8</v>
      </c>
      <c r="M1" s="23" t="s">
        <v>44</v>
      </c>
      <c r="N1" s="23" t="s">
        <v>451</v>
      </c>
      <c r="O1" s="23" t="s">
        <v>450</v>
      </c>
      <c r="P1" s="23" t="s">
        <v>43</v>
      </c>
      <c r="Q1" s="23" t="s">
        <v>452</v>
      </c>
      <c r="R1" s="23" t="s">
        <v>13</v>
      </c>
      <c r="S1" s="23" t="s">
        <v>45</v>
      </c>
      <c r="T1" s="23" t="s">
        <v>62</v>
      </c>
      <c r="U1" s="23" t="s">
        <v>453</v>
      </c>
      <c r="V1" s="29" t="s">
        <v>454</v>
      </c>
      <c r="W1" s="29" t="s">
        <v>445</v>
      </c>
      <c r="X1" s="103" t="s">
        <v>15</v>
      </c>
      <c r="Y1" s="22" t="s">
        <v>16</v>
      </c>
      <c r="Z1" s="22" t="s">
        <v>446</v>
      </c>
      <c r="AA1" s="22" t="s">
        <v>21</v>
      </c>
      <c r="AB1" s="22" t="s">
        <v>19</v>
      </c>
      <c r="AC1" s="23" t="s">
        <v>14</v>
      </c>
      <c r="AD1" s="23" t="s">
        <v>444</v>
      </c>
      <c r="AE1" s="39" t="s">
        <v>441</v>
      </c>
      <c r="AF1" s="39" t="s">
        <v>442</v>
      </c>
      <c r="AG1" s="39" t="s">
        <v>3</v>
      </c>
      <c r="AH1" s="23" t="s">
        <v>443</v>
      </c>
      <c r="AI1" s="23" t="s">
        <v>463</v>
      </c>
      <c r="AJ1" s="23" t="s">
        <v>34</v>
      </c>
      <c r="AK1" s="23" t="s">
        <v>33</v>
      </c>
      <c r="AL1" s="23" t="s">
        <v>464</v>
      </c>
      <c r="AM1" s="23" t="s">
        <v>22</v>
      </c>
      <c r="AN1" s="23" t="s">
        <v>23</v>
      </c>
      <c r="AO1" s="22" t="s">
        <v>17</v>
      </c>
      <c r="AP1" s="61" t="s">
        <v>11</v>
      </c>
      <c r="AQ1" s="3" t="s">
        <v>411</v>
      </c>
      <c r="AR1" s="3" t="s">
        <v>412</v>
      </c>
      <c r="AT1" s="3" t="s">
        <v>465</v>
      </c>
      <c r="AU1" s="3" t="s">
        <v>447</v>
      </c>
      <c r="AW1" s="3" t="s">
        <v>448</v>
      </c>
    </row>
    <row r="2" spans="1:49" x14ac:dyDescent="0.2">
      <c r="A2" s="2" t="s">
        <v>347</v>
      </c>
      <c r="E2" s="2" t="s">
        <v>502</v>
      </c>
      <c r="F2" s="2">
        <v>0</v>
      </c>
      <c r="G2" s="2">
        <v>0</v>
      </c>
      <c r="H2" s="2">
        <v>1</v>
      </c>
      <c r="I2" s="2">
        <v>0</v>
      </c>
      <c r="J2" s="25">
        <f>K2</f>
        <v>19.465999999999998</v>
      </c>
      <c r="K2" s="25">
        <f>L2+0.115+2.4+0.5</f>
        <v>19.465999999999998</v>
      </c>
      <c r="L2" s="25">
        <f t="shared" ref="L2:L15" si="0">SUM(M2:Q2)</f>
        <v>16.451000000000001</v>
      </c>
      <c r="M2" s="26">
        <f t="shared" ref="M2:M15" si="1">SUM(R2:S2)</f>
        <v>0</v>
      </c>
      <c r="O2" s="26">
        <v>16.451000000000001</v>
      </c>
      <c r="U2" s="31">
        <f t="shared" ref="U2:U15" si="2">IF(K2&gt;0,(K2-T2)/(J2-T2),(L2-T2)/(J2-T2))</f>
        <v>1</v>
      </c>
      <c r="V2" s="31">
        <f t="shared" ref="V2:V15" si="3">(L2-T2)/(J2-T2)</f>
        <v>0.84511455871776442</v>
      </c>
      <c r="W2" s="31">
        <f t="shared" ref="W2:W15" si="4">V2/U2</f>
        <v>0.84511455871776442</v>
      </c>
      <c r="X2" s="41">
        <v>3.5</v>
      </c>
      <c r="Y2" s="25">
        <v>5</v>
      </c>
      <c r="Z2" s="25">
        <v>3.5</v>
      </c>
      <c r="AA2" s="25">
        <f t="shared" ref="AA2:AA15" si="5">V2*Y2</f>
        <v>4.2255727935888219</v>
      </c>
      <c r="AB2" s="25">
        <f>2.3/3.5</f>
        <v>0.65714285714285714</v>
      </c>
      <c r="AC2" s="26">
        <f>Z2*10.722/37</f>
        <v>1.0142432432432433</v>
      </c>
      <c r="AD2" s="26">
        <f>Z2*(23.157-10.722)/37</f>
        <v>1.1762837837837838</v>
      </c>
      <c r="AG2" s="35">
        <v>2781</v>
      </c>
      <c r="AH2" s="26">
        <f t="shared" ref="AH2:AH15" si="6">SUM(AC2:AD2)</f>
        <v>2.1905270270270272</v>
      </c>
      <c r="AI2" s="26">
        <f t="shared" ref="AI2:AI15" si="7">AH2*AA2/Y2</f>
        <v>1.8512462818052824</v>
      </c>
      <c r="AL2" s="26">
        <f t="shared" ref="AL2:AL8" si="8">IF(AM2&gt;0,0,MAX(0,(AH2-0.8*AK2)*V2))</f>
        <v>1.8512462818052824</v>
      </c>
      <c r="AO2" s="25">
        <f t="shared" ref="AO2:AO8" si="9">SUM(AL2:AN2)</f>
        <v>1.8512462818052824</v>
      </c>
      <c r="AP2" s="66">
        <f t="shared" ref="AP2:AP8" si="10">AO2/L2</f>
        <v>0.11253092710505637</v>
      </c>
      <c r="AQ2" s="2">
        <v>1</v>
      </c>
      <c r="AR2" s="2">
        <v>1</v>
      </c>
      <c r="AT2" s="2">
        <f t="shared" ref="AT2:AT8" si="11">MAX(0,(AH2-0.8*AK2)*V2)</f>
        <v>1.8512462818052824</v>
      </c>
      <c r="AU2" s="26">
        <f t="shared" ref="AU2:AU8" si="12">AT2+AN2</f>
        <v>1.8512462818052824</v>
      </c>
      <c r="AV2" s="72">
        <f t="shared" ref="AV2:AV8" si="13">AU2/L2</f>
        <v>0.11253092710505637</v>
      </c>
    </row>
    <row r="3" spans="1:49" x14ac:dyDescent="0.2">
      <c r="A3" s="2" t="s">
        <v>46</v>
      </c>
      <c r="E3" s="2" t="s">
        <v>502</v>
      </c>
      <c r="F3" s="2">
        <v>0</v>
      </c>
      <c r="G3" s="2">
        <v>0</v>
      </c>
      <c r="H3" s="2">
        <v>1</v>
      </c>
      <c r="I3" s="2">
        <v>0</v>
      </c>
      <c r="J3" s="25">
        <v>31.764216999999999</v>
      </c>
      <c r="K3" s="25">
        <v>31.764216999999999</v>
      </c>
      <c r="L3" s="25">
        <f t="shared" si="0"/>
        <v>4.2930000000000001</v>
      </c>
      <c r="M3" s="26">
        <f t="shared" si="1"/>
        <v>0</v>
      </c>
      <c r="O3" s="26">
        <v>4.2930000000000001</v>
      </c>
      <c r="U3" s="31">
        <f t="shared" si="2"/>
        <v>1</v>
      </c>
      <c r="V3" s="31">
        <f t="shared" si="3"/>
        <v>0.13515208009062527</v>
      </c>
      <c r="W3" s="31">
        <f t="shared" si="4"/>
        <v>0.13515208009062527</v>
      </c>
      <c r="X3" s="41">
        <v>8</v>
      </c>
      <c r="Y3" s="25">
        <v>7</v>
      </c>
      <c r="Z3" s="25">
        <f t="shared" ref="Z3:Z15" si="14">U3*Y3</f>
        <v>7</v>
      </c>
      <c r="AA3" s="25">
        <f t="shared" si="5"/>
        <v>0.94606456063437683</v>
      </c>
      <c r="AC3" s="26">
        <f>2.687836-0.32331</f>
        <v>2.3645259999999997</v>
      </c>
      <c r="AD3" s="26">
        <f>0.784236-0.784236*(0.32331/2.687836)</f>
        <v>0.68990310872240723</v>
      </c>
      <c r="AH3" s="26">
        <f t="shared" si="6"/>
        <v>3.0544291087224069</v>
      </c>
      <c r="AI3" s="26">
        <f t="shared" si="7"/>
        <v>0.41281244753318791</v>
      </c>
      <c r="AK3" s="26">
        <v>1.8375710000000001</v>
      </c>
      <c r="AL3" s="26">
        <f t="shared" si="8"/>
        <v>0.2141312131618196</v>
      </c>
      <c r="AM3" s="26">
        <f t="shared" ref="AM3:AM8" si="15">AJ3*V3</f>
        <v>0</v>
      </c>
      <c r="AN3" s="26">
        <f>AK3*V3</f>
        <v>0.24835154296421036</v>
      </c>
      <c r="AO3" s="25">
        <f t="shared" si="9"/>
        <v>0.46248275612602996</v>
      </c>
      <c r="AP3" s="66">
        <f t="shared" si="10"/>
        <v>0.10772950294107383</v>
      </c>
      <c r="AQ3" s="2">
        <v>0</v>
      </c>
      <c r="AR3" s="2">
        <v>0</v>
      </c>
      <c r="AT3" s="2">
        <f t="shared" si="11"/>
        <v>0.2141312131618196</v>
      </c>
      <c r="AU3" s="26">
        <f t="shared" si="12"/>
        <v>0.46248275612602996</v>
      </c>
      <c r="AV3" s="72">
        <f t="shared" si="13"/>
        <v>0.10772950294107383</v>
      </c>
    </row>
    <row r="4" spans="1:49" x14ac:dyDescent="0.2">
      <c r="A4" s="2" t="s">
        <v>48</v>
      </c>
      <c r="E4" s="2" t="s">
        <v>502</v>
      </c>
      <c r="F4" s="2">
        <v>0</v>
      </c>
      <c r="G4" s="2">
        <v>0</v>
      </c>
      <c r="H4" s="2">
        <v>1</v>
      </c>
      <c r="I4" s="2">
        <v>0</v>
      </c>
      <c r="J4" s="25">
        <v>102.899</v>
      </c>
      <c r="K4" s="25">
        <f>L4</f>
        <v>7.673</v>
      </c>
      <c r="L4" s="25">
        <f t="shared" si="0"/>
        <v>7.673</v>
      </c>
      <c r="M4" s="26">
        <f t="shared" si="1"/>
        <v>0</v>
      </c>
      <c r="N4" s="2"/>
      <c r="O4" s="26">
        <v>7.673</v>
      </c>
      <c r="U4" s="31">
        <f t="shared" si="2"/>
        <v>7.4568265969542954E-2</v>
      </c>
      <c r="V4" s="31">
        <f t="shared" si="3"/>
        <v>7.4568265969542954E-2</v>
      </c>
      <c r="W4" s="31">
        <f t="shared" si="4"/>
        <v>1</v>
      </c>
      <c r="X4" s="41">
        <v>97</v>
      </c>
      <c r="Y4" s="25">
        <v>87</v>
      </c>
      <c r="Z4" s="25">
        <f t="shared" si="14"/>
        <v>6.4874391393502373</v>
      </c>
      <c r="AA4" s="25">
        <f t="shared" si="5"/>
        <v>6.4874391393502373</v>
      </c>
      <c r="AB4" s="25">
        <f>44/87</f>
        <v>0.50574712643678166</v>
      </c>
      <c r="AC4" s="26">
        <f>27.687-2.323</f>
        <v>25.364000000000001</v>
      </c>
      <c r="AD4" s="26">
        <v>10.736000000000001</v>
      </c>
      <c r="AG4" s="35">
        <v>67202</v>
      </c>
      <c r="AH4" s="26">
        <f t="shared" si="6"/>
        <v>36.1</v>
      </c>
      <c r="AI4" s="26">
        <f t="shared" si="7"/>
        <v>2.691914401500501</v>
      </c>
      <c r="AK4" s="26">
        <v>19.158000000000001</v>
      </c>
      <c r="AL4" s="26">
        <f t="shared" si="8"/>
        <v>1.5490513299448976</v>
      </c>
      <c r="AM4" s="26">
        <f t="shared" si="15"/>
        <v>0</v>
      </c>
      <c r="AN4" s="26">
        <f>AK4*V4</f>
        <v>1.428578839444504</v>
      </c>
      <c r="AO4" s="25">
        <f t="shared" si="9"/>
        <v>2.9776301693894016</v>
      </c>
      <c r="AP4" s="66">
        <f t="shared" si="10"/>
        <v>0.38806596759929646</v>
      </c>
      <c r="AQ4" s="2">
        <v>1</v>
      </c>
      <c r="AR4" s="2">
        <v>1</v>
      </c>
      <c r="AT4" s="2">
        <f t="shared" si="11"/>
        <v>1.5490513299448976</v>
      </c>
      <c r="AU4" s="26">
        <f t="shared" si="12"/>
        <v>2.9776301693894016</v>
      </c>
      <c r="AV4" s="72">
        <f t="shared" si="13"/>
        <v>0.38806596759929646</v>
      </c>
    </row>
    <row r="5" spans="1:49" x14ac:dyDescent="0.2">
      <c r="A5" s="2" t="s">
        <v>49</v>
      </c>
      <c r="E5" s="2" t="s">
        <v>502</v>
      </c>
      <c r="F5" s="2">
        <v>0</v>
      </c>
      <c r="G5" s="2">
        <v>0</v>
      </c>
      <c r="H5" s="2">
        <v>1</v>
      </c>
      <c r="I5" s="2">
        <v>0</v>
      </c>
      <c r="J5" s="25">
        <v>115.8</v>
      </c>
      <c r="K5" s="25">
        <f t="shared" ref="K5:K10" si="16">L5</f>
        <v>25.882999999999999</v>
      </c>
      <c r="L5" s="25">
        <f t="shared" si="0"/>
        <v>25.882999999999999</v>
      </c>
      <c r="M5" s="26">
        <f t="shared" si="1"/>
        <v>0</v>
      </c>
      <c r="O5" s="26">
        <v>25.882999999999999</v>
      </c>
      <c r="U5" s="31">
        <f t="shared" si="2"/>
        <v>0.22351468048359241</v>
      </c>
      <c r="V5" s="31">
        <f t="shared" si="3"/>
        <v>0.22351468048359241</v>
      </c>
      <c r="W5" s="31">
        <f t="shared" si="4"/>
        <v>1</v>
      </c>
      <c r="X5" s="41">
        <v>31</v>
      </c>
      <c r="Y5" s="25">
        <v>31</v>
      </c>
      <c r="Z5" s="25">
        <f t="shared" si="14"/>
        <v>6.9289550949913643</v>
      </c>
      <c r="AA5" s="25">
        <f t="shared" si="5"/>
        <v>6.9289550949913643</v>
      </c>
      <c r="AB5" s="25">
        <f>13/31</f>
        <v>0.41935483870967744</v>
      </c>
      <c r="AC5" s="26">
        <v>9.5190000000000001</v>
      </c>
      <c r="AD5" s="26">
        <v>3.8319999999999999</v>
      </c>
      <c r="AH5" s="26">
        <f t="shared" si="6"/>
        <v>13.350999999999999</v>
      </c>
      <c r="AI5" s="26">
        <f t="shared" si="7"/>
        <v>2.9841444991364421</v>
      </c>
      <c r="AK5" s="26">
        <v>4.88</v>
      </c>
      <c r="AL5" s="26">
        <f t="shared" si="8"/>
        <v>2.1115431865284973</v>
      </c>
      <c r="AM5" s="26">
        <f t="shared" si="15"/>
        <v>0</v>
      </c>
      <c r="AN5" s="26">
        <f>AK5*V5</f>
        <v>1.0907516407599309</v>
      </c>
      <c r="AO5" s="25">
        <f t="shared" si="9"/>
        <v>3.2022948272884282</v>
      </c>
      <c r="AP5" s="66">
        <f t="shared" si="10"/>
        <v>0.12372193436960276</v>
      </c>
      <c r="AQ5" s="2">
        <v>0</v>
      </c>
      <c r="AR5" s="2">
        <v>0</v>
      </c>
      <c r="AT5" s="2">
        <f t="shared" si="11"/>
        <v>2.1115431865284973</v>
      </c>
      <c r="AU5" s="26">
        <f t="shared" si="12"/>
        <v>3.2022948272884282</v>
      </c>
      <c r="AV5" s="72">
        <f t="shared" si="13"/>
        <v>0.12372193436960276</v>
      </c>
    </row>
    <row r="6" spans="1:49" x14ac:dyDescent="0.2">
      <c r="A6" s="2" t="s">
        <v>50</v>
      </c>
      <c r="E6" s="2" t="s">
        <v>502</v>
      </c>
      <c r="F6" s="2">
        <v>0</v>
      </c>
      <c r="G6" s="2">
        <v>0</v>
      </c>
      <c r="H6" s="2">
        <v>1</v>
      </c>
      <c r="I6" s="2">
        <v>0</v>
      </c>
      <c r="J6" s="25">
        <v>125.95</v>
      </c>
      <c r="K6" s="25">
        <f t="shared" si="16"/>
        <v>24.616</v>
      </c>
      <c r="L6" s="25">
        <f t="shared" si="0"/>
        <v>24.616</v>
      </c>
      <c r="M6" s="26">
        <f t="shared" si="1"/>
        <v>11.723000000000001</v>
      </c>
      <c r="N6" s="2"/>
      <c r="O6" s="26">
        <v>12.893000000000001</v>
      </c>
      <c r="R6" s="26">
        <f>10.666+1.057</f>
        <v>11.723000000000001</v>
      </c>
      <c r="U6" s="31">
        <f t="shared" si="2"/>
        <v>0.19544263596665343</v>
      </c>
      <c r="V6" s="31">
        <f t="shared" si="3"/>
        <v>0.19544263596665343</v>
      </c>
      <c r="W6" s="31">
        <f t="shared" si="4"/>
        <v>1</v>
      </c>
      <c r="X6" s="41">
        <v>147</v>
      </c>
      <c r="Y6" s="25">
        <v>95</v>
      </c>
      <c r="Z6" s="25">
        <f t="shared" si="14"/>
        <v>18.567050416832075</v>
      </c>
      <c r="AA6" s="25">
        <f t="shared" si="5"/>
        <v>18.567050416832075</v>
      </c>
      <c r="AB6" s="25">
        <f>51/95</f>
        <v>0.5368421052631579</v>
      </c>
      <c r="AC6" s="26">
        <f>Y6/X6*43.067</f>
        <v>27.832414965986398</v>
      </c>
      <c r="AD6" s="26">
        <f>Y6/X6*15.753</f>
        <v>10.180510204081633</v>
      </c>
      <c r="AG6" s="35">
        <v>32258</v>
      </c>
      <c r="AH6" s="26">
        <f t="shared" si="6"/>
        <v>38.01292517006803</v>
      </c>
      <c r="AI6" s="26">
        <f t="shared" si="7"/>
        <v>7.4293462960412437</v>
      </c>
      <c r="AL6" s="26">
        <f t="shared" si="8"/>
        <v>7.4293462960412437</v>
      </c>
      <c r="AM6" s="26">
        <f t="shared" si="15"/>
        <v>0</v>
      </c>
      <c r="AN6" s="26">
        <f>AK6*V6</f>
        <v>0</v>
      </c>
      <c r="AO6" s="25">
        <f t="shared" si="9"/>
        <v>7.4293462960412437</v>
      </c>
      <c r="AP6" s="66">
        <f t="shared" si="10"/>
        <v>0.30180964803547466</v>
      </c>
      <c r="AQ6" s="2">
        <v>0</v>
      </c>
      <c r="AR6" s="2">
        <v>0</v>
      </c>
      <c r="AT6" s="2">
        <f t="shared" si="11"/>
        <v>7.4293462960412437</v>
      </c>
      <c r="AU6" s="26">
        <f t="shared" si="12"/>
        <v>7.4293462960412437</v>
      </c>
      <c r="AV6" s="72">
        <f t="shared" si="13"/>
        <v>0.30180964803547466</v>
      </c>
    </row>
    <row r="7" spans="1:49" x14ac:dyDescent="0.2">
      <c r="A7" s="2" t="s">
        <v>52</v>
      </c>
      <c r="E7" s="2" t="s">
        <v>502</v>
      </c>
      <c r="F7" s="2">
        <v>0</v>
      </c>
      <c r="G7" s="2">
        <v>0</v>
      </c>
      <c r="H7" s="2">
        <v>1</v>
      </c>
      <c r="I7" s="2">
        <v>0</v>
      </c>
      <c r="J7" s="25">
        <v>10.864000000000001</v>
      </c>
      <c r="K7" s="25">
        <f t="shared" si="16"/>
        <v>4.1230000000000002</v>
      </c>
      <c r="L7" s="25">
        <f t="shared" si="0"/>
        <v>4.1230000000000002</v>
      </c>
      <c r="M7" s="26">
        <f t="shared" si="1"/>
        <v>0</v>
      </c>
      <c r="O7" s="26">
        <v>4.1230000000000002</v>
      </c>
      <c r="U7" s="31">
        <f t="shared" si="2"/>
        <v>0.3795103092783505</v>
      </c>
      <c r="V7" s="31">
        <f t="shared" si="3"/>
        <v>0.3795103092783505</v>
      </c>
      <c r="W7" s="31">
        <f t="shared" si="4"/>
        <v>1</v>
      </c>
      <c r="X7" s="41">
        <f>1+1+0.8+0.45+1+1+1+1+0.5</f>
        <v>7.75</v>
      </c>
      <c r="Y7" s="25">
        <f>1+1+0.8+0.45</f>
        <v>3.25</v>
      </c>
      <c r="Z7" s="25">
        <f t="shared" si="14"/>
        <v>1.2334085051546391</v>
      </c>
      <c r="AA7" s="25">
        <f t="shared" si="5"/>
        <v>1.2334085051546391</v>
      </c>
      <c r="AC7" s="26">
        <f>1.703*Y7/X7</f>
        <v>0.71416129032258058</v>
      </c>
      <c r="AG7" s="35">
        <v>75</v>
      </c>
      <c r="AH7" s="26">
        <f t="shared" si="6"/>
        <v>0.71416129032258058</v>
      </c>
      <c r="AI7" s="26">
        <f t="shared" si="7"/>
        <v>0.27103157216494844</v>
      </c>
      <c r="AL7" s="26">
        <f t="shared" si="8"/>
        <v>0.27103157216494844</v>
      </c>
      <c r="AM7" s="26">
        <f t="shared" si="15"/>
        <v>0</v>
      </c>
      <c r="AO7" s="25">
        <f t="shared" si="9"/>
        <v>0.27103157216494844</v>
      </c>
      <c r="AP7" s="66">
        <f t="shared" si="10"/>
        <v>6.5736495795524721E-2</v>
      </c>
      <c r="AQ7" s="2">
        <v>0</v>
      </c>
      <c r="AR7" s="2">
        <v>0</v>
      </c>
      <c r="AT7" s="2">
        <f t="shared" si="11"/>
        <v>0.27103157216494844</v>
      </c>
      <c r="AU7" s="26">
        <f t="shared" si="12"/>
        <v>0.27103157216494844</v>
      </c>
      <c r="AV7" s="72">
        <f t="shared" si="13"/>
        <v>6.5736495795524721E-2</v>
      </c>
    </row>
    <row r="8" spans="1:49" x14ac:dyDescent="0.2">
      <c r="A8" s="2" t="s">
        <v>455</v>
      </c>
      <c r="E8" s="2" t="s">
        <v>502</v>
      </c>
      <c r="F8" s="2">
        <v>0</v>
      </c>
      <c r="G8" s="2">
        <v>0</v>
      </c>
      <c r="H8" s="2">
        <v>1</v>
      </c>
      <c r="I8" s="2">
        <v>0</v>
      </c>
      <c r="J8" s="25">
        <v>96.873999999999995</v>
      </c>
      <c r="K8" s="25">
        <f t="shared" si="16"/>
        <v>15.936</v>
      </c>
      <c r="L8" s="25">
        <f t="shared" si="0"/>
        <v>15.936</v>
      </c>
      <c r="M8" s="26">
        <f t="shared" si="1"/>
        <v>0</v>
      </c>
      <c r="O8" s="26">
        <v>15.936</v>
      </c>
      <c r="U8" s="31">
        <f t="shared" si="2"/>
        <v>0.16450234324999485</v>
      </c>
      <c r="V8" s="31">
        <f t="shared" si="3"/>
        <v>0.16450234324999485</v>
      </c>
      <c r="W8" s="31">
        <f t="shared" si="4"/>
        <v>1</v>
      </c>
      <c r="X8" s="41">
        <v>184</v>
      </c>
      <c r="Y8" s="25">
        <f>31+32</f>
        <v>63</v>
      </c>
      <c r="Z8" s="25">
        <f t="shared" si="14"/>
        <v>10.363647624749676</v>
      </c>
      <c r="AA8" s="25">
        <f t="shared" si="5"/>
        <v>10.363647624749676</v>
      </c>
      <c r="AB8" s="25">
        <f>(31*0.36+32*0.14)/Y8</f>
        <v>0.24825396825396825</v>
      </c>
      <c r="AC8" s="26">
        <f>Y8/X8*36.527</f>
        <v>12.506527173913044</v>
      </c>
      <c r="AD8" s="26">
        <f>Y8/X8*7.136</f>
        <v>2.443304347826087</v>
      </c>
      <c r="AG8" s="35">
        <v>3788</v>
      </c>
      <c r="AH8" s="26">
        <f t="shared" si="6"/>
        <v>14.949831521739132</v>
      </c>
      <c r="AI8" s="26">
        <f t="shared" si="7"/>
        <v>2.4592823165187232</v>
      </c>
      <c r="AJ8" s="26">
        <f>2.383+3.643</f>
        <v>6.0259999999999998</v>
      </c>
      <c r="AK8" s="26">
        <v>5.0309999999999997</v>
      </c>
      <c r="AL8" s="26">
        <f t="shared" si="8"/>
        <v>0</v>
      </c>
      <c r="AM8" s="26">
        <f t="shared" si="15"/>
        <v>0.99129112042446899</v>
      </c>
      <c r="AN8" s="26">
        <f>AK8*V8</f>
        <v>0.82761128889072411</v>
      </c>
      <c r="AO8" s="25">
        <f t="shared" si="9"/>
        <v>1.8189024093151931</v>
      </c>
      <c r="AP8" s="66">
        <f t="shared" si="10"/>
        <v>0.11413795239176663</v>
      </c>
      <c r="AQ8" s="2">
        <v>0</v>
      </c>
      <c r="AR8" s="2">
        <v>0</v>
      </c>
      <c r="AT8" s="2">
        <f t="shared" si="11"/>
        <v>1.7971932854061443</v>
      </c>
      <c r="AU8" s="26">
        <f t="shared" si="12"/>
        <v>2.6248045742968684</v>
      </c>
      <c r="AV8" s="72">
        <f t="shared" si="13"/>
        <v>0.16470912238308663</v>
      </c>
    </row>
    <row r="9" spans="1:49" x14ac:dyDescent="0.2">
      <c r="A9" s="2" t="s">
        <v>55</v>
      </c>
      <c r="D9" s="2">
        <v>1</v>
      </c>
      <c r="E9" s="2" t="s">
        <v>502</v>
      </c>
      <c r="F9" s="2">
        <v>0</v>
      </c>
      <c r="G9" s="2">
        <v>0</v>
      </c>
      <c r="H9" s="2">
        <v>1</v>
      </c>
      <c r="I9" s="2">
        <v>0</v>
      </c>
      <c r="J9" s="25">
        <f>11.1*6.5</f>
        <v>72.149999999999991</v>
      </c>
      <c r="K9" s="25">
        <f t="shared" si="16"/>
        <v>8.1760000000000002</v>
      </c>
      <c r="L9" s="25">
        <f t="shared" si="0"/>
        <v>8.1760000000000002</v>
      </c>
      <c r="M9" s="26">
        <f t="shared" si="1"/>
        <v>0</v>
      </c>
      <c r="N9" s="2"/>
      <c r="O9" s="26">
        <v>8.1760000000000002</v>
      </c>
      <c r="U9" s="31">
        <f t="shared" si="2"/>
        <v>0.11331947331947334</v>
      </c>
      <c r="V9" s="31">
        <f t="shared" si="3"/>
        <v>0.11331947331947334</v>
      </c>
      <c r="W9" s="31">
        <f t="shared" si="4"/>
        <v>1</v>
      </c>
      <c r="Z9" s="25">
        <f t="shared" si="14"/>
        <v>0</v>
      </c>
      <c r="AA9" s="25">
        <f t="shared" si="5"/>
        <v>0</v>
      </c>
      <c r="AH9" s="26">
        <f t="shared" si="6"/>
        <v>0</v>
      </c>
      <c r="AI9" s="26" t="e">
        <f t="shared" si="7"/>
        <v>#DIV/0!</v>
      </c>
      <c r="AP9" s="66"/>
      <c r="AQ9" s="2">
        <v>1</v>
      </c>
      <c r="AR9" s="2">
        <v>0</v>
      </c>
      <c r="AU9" s="26"/>
      <c r="AV9" s="72"/>
    </row>
    <row r="10" spans="1:49" x14ac:dyDescent="0.2">
      <c r="A10" s="2" t="s">
        <v>56</v>
      </c>
      <c r="E10" s="2" t="s">
        <v>502</v>
      </c>
      <c r="F10" s="2">
        <v>0</v>
      </c>
      <c r="G10" s="2">
        <v>0</v>
      </c>
      <c r="H10" s="2">
        <v>1</v>
      </c>
      <c r="I10" s="2">
        <v>0</v>
      </c>
      <c r="J10" s="25">
        <v>19.458545000000001</v>
      </c>
      <c r="K10" s="25">
        <f t="shared" si="16"/>
        <v>8.6284930000000006</v>
      </c>
      <c r="L10" s="25">
        <f t="shared" si="0"/>
        <v>8.6284930000000006</v>
      </c>
      <c r="M10" s="26">
        <f t="shared" si="1"/>
        <v>0</v>
      </c>
      <c r="N10" s="26">
        <v>8.6284930000000006</v>
      </c>
      <c r="U10" s="31">
        <f t="shared" si="2"/>
        <v>0.44342950616297366</v>
      </c>
      <c r="V10" s="31">
        <f t="shared" si="3"/>
        <v>0.44342950616297366</v>
      </c>
      <c r="W10" s="31">
        <f t="shared" si="4"/>
        <v>1</v>
      </c>
      <c r="X10" s="41">
        <v>7.5</v>
      </c>
      <c r="Y10" s="25">
        <v>7.5</v>
      </c>
      <c r="Z10" s="25">
        <f t="shared" si="14"/>
        <v>3.3257212962223024</v>
      </c>
      <c r="AA10" s="25">
        <f t="shared" si="5"/>
        <v>3.3257212962223024</v>
      </c>
      <c r="AB10" s="25">
        <f>3/7.5</f>
        <v>0.4</v>
      </c>
      <c r="AC10" s="26">
        <v>2.7539769999999999</v>
      </c>
      <c r="AD10" s="26">
        <v>0.84218499999999996</v>
      </c>
      <c r="AH10" s="26">
        <f t="shared" si="6"/>
        <v>3.5961619999999996</v>
      </c>
      <c r="AI10" s="26">
        <f t="shared" si="7"/>
        <v>1.5946443397420513</v>
      </c>
      <c r="AL10" s="26">
        <f t="shared" ref="AL10:AL15" si="17">IF(AM10&gt;0,0,MAX(0,(AH10-0.8*AK10)*V10))</f>
        <v>1.5946443397420516</v>
      </c>
      <c r="AM10" s="26">
        <f>AJ10*V10</f>
        <v>0</v>
      </c>
      <c r="AN10" s="26">
        <f>AK10*V10</f>
        <v>0</v>
      </c>
      <c r="AO10" s="25">
        <f t="shared" ref="AO10:AO15" si="18">SUM(AL10:AN10)</f>
        <v>1.5946443397420516</v>
      </c>
      <c r="AP10" s="66">
        <f t="shared" ref="AP10:AP16" si="19">AO10/L10</f>
        <v>0.18481145429938362</v>
      </c>
      <c r="AQ10" s="2">
        <v>0</v>
      </c>
      <c r="AR10" s="2">
        <v>0</v>
      </c>
      <c r="AT10" s="2">
        <f t="shared" ref="AT10:AT15" si="20">MAX(0,(AH10-0.8*AK10)*V10)</f>
        <v>1.5946443397420516</v>
      </c>
      <c r="AU10" s="26">
        <f t="shared" ref="AU10:AU15" si="21">AT10+AN10</f>
        <v>1.5946443397420516</v>
      </c>
      <c r="AV10" s="72">
        <f t="shared" ref="AV10:AV15" si="22">AU10/L10</f>
        <v>0.18481145429938362</v>
      </c>
    </row>
    <row r="11" spans="1:49" x14ac:dyDescent="0.2">
      <c r="A11" s="2" t="s">
        <v>39</v>
      </c>
      <c r="E11" s="2" t="s">
        <v>502</v>
      </c>
      <c r="F11" s="2">
        <v>0</v>
      </c>
      <c r="G11" s="2">
        <v>0</v>
      </c>
      <c r="H11" s="2">
        <v>1</v>
      </c>
      <c r="I11" s="2">
        <v>0</v>
      </c>
      <c r="J11" s="25">
        <v>18.416443999999998</v>
      </c>
      <c r="K11" s="25">
        <v>18.416443999999998</v>
      </c>
      <c r="L11" s="25">
        <f t="shared" si="0"/>
        <v>16.114999999999998</v>
      </c>
      <c r="M11" s="26">
        <f t="shared" si="1"/>
        <v>5.1589999999999998</v>
      </c>
      <c r="O11" s="26">
        <f>0.79+8.615</f>
        <v>9.4050000000000011</v>
      </c>
      <c r="P11" s="26">
        <f>0.814+0.737</f>
        <v>1.5509999999999999</v>
      </c>
      <c r="S11" s="26">
        <f>5.159</f>
        <v>5.1589999999999998</v>
      </c>
      <c r="U11" s="31">
        <f t="shared" si="2"/>
        <v>1</v>
      </c>
      <c r="V11" s="31">
        <f t="shared" si="3"/>
        <v>0.87503320402136264</v>
      </c>
      <c r="W11" s="31">
        <f t="shared" si="4"/>
        <v>0.87503320402136264</v>
      </c>
      <c r="X11" s="41">
        <f>13.88+10.5+3.5+4.38</f>
        <v>32.260000000000005</v>
      </c>
      <c r="Y11" s="25">
        <v>13.88</v>
      </c>
      <c r="Z11" s="25">
        <f t="shared" si="14"/>
        <v>13.88</v>
      </c>
      <c r="AA11" s="25">
        <f t="shared" si="5"/>
        <v>12.145460871816514</v>
      </c>
      <c r="AB11" s="25">
        <f>3.75/Y11</f>
        <v>0.27017291066282417</v>
      </c>
      <c r="AC11" s="26">
        <f>(0.451+4.415+2.494)*Y11/X11</f>
        <v>3.1666707997520147</v>
      </c>
      <c r="AD11" s="26">
        <f>(1.415+0.266+0.065+0.182+0.065)*Y11/X11</f>
        <v>0.85749659020458757</v>
      </c>
      <c r="AG11" s="35">
        <v>1140</v>
      </c>
      <c r="AH11" s="26">
        <f t="shared" si="6"/>
        <v>4.0241673899566024</v>
      </c>
      <c r="AI11" s="26">
        <f t="shared" si="7"/>
        <v>3.5212800847520103</v>
      </c>
      <c r="AK11" s="26">
        <v>0.18020900000000001</v>
      </c>
      <c r="AL11" s="26">
        <f t="shared" si="17"/>
        <v>3.3951289978212214</v>
      </c>
      <c r="AN11" s="26">
        <f>AK11*V11</f>
        <v>0.15768885866348575</v>
      </c>
      <c r="AO11" s="25">
        <f t="shared" si="18"/>
        <v>3.5528178564847073</v>
      </c>
      <c r="AP11" s="66">
        <f t="shared" si="19"/>
        <v>0.22046651296833433</v>
      </c>
      <c r="AQ11" s="2">
        <v>0</v>
      </c>
      <c r="AR11" s="2">
        <v>0</v>
      </c>
      <c r="AT11" s="2">
        <f t="shared" si="20"/>
        <v>3.3951289978212214</v>
      </c>
      <c r="AU11" s="26">
        <f t="shared" si="21"/>
        <v>3.5528178564847073</v>
      </c>
      <c r="AV11" s="72">
        <f t="shared" si="22"/>
        <v>0.22046651296833433</v>
      </c>
    </row>
    <row r="12" spans="1:49" x14ac:dyDescent="0.2">
      <c r="A12" s="2" t="s">
        <v>58</v>
      </c>
      <c r="E12" s="2" t="s">
        <v>502</v>
      </c>
      <c r="F12" s="2">
        <v>0</v>
      </c>
      <c r="G12" s="2">
        <v>0</v>
      </c>
      <c r="H12" s="2">
        <v>1</v>
      </c>
      <c r="I12" s="2">
        <v>0</v>
      </c>
      <c r="J12" s="25">
        <v>10.025857</v>
      </c>
      <c r="K12" s="25">
        <v>10.025857</v>
      </c>
      <c r="L12" s="25">
        <f t="shared" si="0"/>
        <v>5.4771539999999996</v>
      </c>
      <c r="M12" s="26">
        <f t="shared" si="1"/>
        <v>0</v>
      </c>
      <c r="O12" s="26">
        <v>5.4771539999999996</v>
      </c>
      <c r="U12" s="31">
        <f t="shared" si="2"/>
        <v>1</v>
      </c>
      <c r="V12" s="31">
        <f t="shared" si="3"/>
        <v>0.54630282478595094</v>
      </c>
      <c r="W12" s="31">
        <f t="shared" si="4"/>
        <v>0.54630282478595094</v>
      </c>
      <c r="X12" s="41">
        <v>3.5</v>
      </c>
      <c r="Y12" s="25">
        <v>3.5</v>
      </c>
      <c r="Z12" s="25">
        <f t="shared" si="14"/>
        <v>3.5</v>
      </c>
      <c r="AA12" s="25">
        <f t="shared" si="5"/>
        <v>1.9120598867508283</v>
      </c>
      <c r="AB12" s="25">
        <f>2/3.5</f>
        <v>0.5714285714285714</v>
      </c>
      <c r="AC12" s="26">
        <v>1.101845</v>
      </c>
      <c r="AD12" s="26">
        <v>0.44527299999999997</v>
      </c>
      <c r="AH12" s="26">
        <f t="shared" si="6"/>
        <v>1.547118</v>
      </c>
      <c r="AI12" s="26">
        <f t="shared" si="7"/>
        <v>0.8451949336771909</v>
      </c>
      <c r="AK12" s="26">
        <v>0.59746200000000005</v>
      </c>
      <c r="AL12" s="26">
        <f t="shared" si="17"/>
        <v>0.58407879103537974</v>
      </c>
      <c r="AM12" s="26">
        <f>AJ12*V12</f>
        <v>0</v>
      </c>
      <c r="AN12" s="26">
        <f>AK12*V12</f>
        <v>0.32639517830226383</v>
      </c>
      <c r="AO12" s="25">
        <f t="shared" si="18"/>
        <v>0.91047396933764357</v>
      </c>
      <c r="AP12" s="66">
        <f t="shared" si="19"/>
        <v>0.16623121594493118</v>
      </c>
      <c r="AQ12" s="2">
        <v>0</v>
      </c>
      <c r="AR12" s="2">
        <v>0</v>
      </c>
      <c r="AT12" s="2">
        <f t="shared" si="20"/>
        <v>0.58407879103537974</v>
      </c>
      <c r="AU12" s="26">
        <f t="shared" si="21"/>
        <v>0.91047396933764357</v>
      </c>
      <c r="AV12" s="72">
        <f t="shared" si="22"/>
        <v>0.16623121594493118</v>
      </c>
    </row>
    <row r="13" spans="1:49" x14ac:dyDescent="0.2">
      <c r="A13" s="2" t="s">
        <v>59</v>
      </c>
      <c r="E13" s="2" t="s">
        <v>502</v>
      </c>
      <c r="F13" s="2">
        <v>0</v>
      </c>
      <c r="G13" s="2">
        <v>0</v>
      </c>
      <c r="H13" s="2">
        <v>1</v>
      </c>
      <c r="I13" s="2">
        <v>0</v>
      </c>
      <c r="J13" s="25">
        <v>30.311</v>
      </c>
      <c r="K13" s="25">
        <f>L13</f>
        <v>17.937999999999999</v>
      </c>
      <c r="L13" s="25">
        <f t="shared" si="0"/>
        <v>17.937999999999999</v>
      </c>
      <c r="M13" s="26">
        <f t="shared" si="1"/>
        <v>14.493</v>
      </c>
      <c r="P13" s="26">
        <v>0.1</v>
      </c>
      <c r="Q13" s="26">
        <f>1.017+0.374+1.934+0.02</f>
        <v>3.3450000000000002</v>
      </c>
      <c r="S13" s="26">
        <v>14.493</v>
      </c>
      <c r="U13" s="31">
        <f t="shared" si="2"/>
        <v>0.59179835703210049</v>
      </c>
      <c r="V13" s="31">
        <f t="shared" si="3"/>
        <v>0.59179835703210049</v>
      </c>
      <c r="W13" s="31">
        <f t="shared" si="4"/>
        <v>1</v>
      </c>
      <c r="X13" s="41">
        <v>42</v>
      </c>
      <c r="Y13" s="25">
        <v>11</v>
      </c>
      <c r="Z13" s="25">
        <f t="shared" si="14"/>
        <v>6.5097819273531057</v>
      </c>
      <c r="AA13" s="25">
        <f t="shared" si="5"/>
        <v>6.5097819273531057</v>
      </c>
      <c r="AB13" s="25">
        <f>4/Y13</f>
        <v>0.36363636363636365</v>
      </c>
      <c r="AC13" s="26">
        <f>3.869+0.624</f>
        <v>4.4930000000000003</v>
      </c>
      <c r="AD13" s="26">
        <f>2.833*(AC13/(AC13+0.615+2.707+1.906+0.66))</f>
        <v>1.2261505635295253</v>
      </c>
      <c r="AH13" s="26">
        <f t="shared" si="6"/>
        <v>5.7191505635295261</v>
      </c>
      <c r="AI13" s="26">
        <f t="shared" si="7"/>
        <v>3.3845839071159856</v>
      </c>
      <c r="AL13" s="26">
        <f t="shared" si="17"/>
        <v>3.3845839071159851</v>
      </c>
      <c r="AM13" s="26">
        <f>AJ13*V13</f>
        <v>0</v>
      </c>
      <c r="AO13" s="25">
        <f t="shared" si="18"/>
        <v>3.3845839071159851</v>
      </c>
      <c r="AP13" s="66">
        <f t="shared" si="19"/>
        <v>0.18868234513970261</v>
      </c>
      <c r="AQ13" s="2">
        <v>0</v>
      </c>
      <c r="AR13" s="2">
        <v>0</v>
      </c>
      <c r="AT13" s="2">
        <f t="shared" si="20"/>
        <v>3.3845839071159851</v>
      </c>
      <c r="AU13" s="26">
        <f t="shared" si="21"/>
        <v>3.3845839071159851</v>
      </c>
      <c r="AV13" s="72">
        <f t="shared" si="22"/>
        <v>0.18868234513970261</v>
      </c>
    </row>
    <row r="14" spans="1:49" x14ac:dyDescent="0.2">
      <c r="A14" s="2" t="s">
        <v>61</v>
      </c>
      <c r="E14" s="2" t="s">
        <v>502</v>
      </c>
      <c r="F14" s="2">
        <v>0</v>
      </c>
      <c r="G14" s="2">
        <v>0</v>
      </c>
      <c r="H14" s="2">
        <v>1</v>
      </c>
      <c r="I14" s="2">
        <v>0</v>
      </c>
      <c r="J14" s="25">
        <v>16.244734999999999</v>
      </c>
      <c r="K14" s="25">
        <v>16.244734999999999</v>
      </c>
      <c r="L14" s="25">
        <f t="shared" si="0"/>
        <v>2.641</v>
      </c>
      <c r="M14" s="26">
        <f t="shared" si="1"/>
        <v>0</v>
      </c>
      <c r="O14" s="26">
        <v>2.641</v>
      </c>
      <c r="U14" s="31">
        <f t="shared" si="2"/>
        <v>1</v>
      </c>
      <c r="V14" s="31">
        <f t="shared" si="3"/>
        <v>0.16257575146655209</v>
      </c>
      <c r="W14" s="31">
        <f t="shared" si="4"/>
        <v>0.16257575146655209</v>
      </c>
      <c r="X14" s="41">
        <v>0</v>
      </c>
      <c r="Y14" s="25">
        <v>0</v>
      </c>
      <c r="Z14" s="25">
        <f t="shared" si="14"/>
        <v>0</v>
      </c>
      <c r="AA14" s="25">
        <f t="shared" si="5"/>
        <v>0</v>
      </c>
      <c r="AC14" s="26">
        <v>0</v>
      </c>
      <c r="AD14" s="26">
        <v>0</v>
      </c>
      <c r="AH14" s="26">
        <f t="shared" si="6"/>
        <v>0</v>
      </c>
      <c r="AI14" s="26" t="e">
        <f t="shared" si="7"/>
        <v>#DIV/0!</v>
      </c>
      <c r="AJ14" s="26">
        <f>SUM(AC14:AD14)+0.169914+0.093307+0.994917</f>
        <v>1.2581380000000002</v>
      </c>
      <c r="AK14" s="26">
        <v>0.30658600000000003</v>
      </c>
      <c r="AL14" s="26">
        <f t="shared" si="17"/>
        <v>0</v>
      </c>
      <c r="AM14" s="26">
        <f>AJ14*V14</f>
        <v>0.20454273079862495</v>
      </c>
      <c r="AN14" s="26">
        <f>AK14*V13</f>
        <v>0.18143709108904357</v>
      </c>
      <c r="AO14" s="25">
        <f t="shared" si="18"/>
        <v>0.38597982188766855</v>
      </c>
      <c r="AP14" s="66">
        <f t="shared" si="19"/>
        <v>0.14614911847318007</v>
      </c>
      <c r="AQ14" s="2">
        <v>0</v>
      </c>
      <c r="AR14" s="2">
        <v>0</v>
      </c>
      <c r="AT14" s="2">
        <f t="shared" si="20"/>
        <v>0</v>
      </c>
      <c r="AU14" s="26">
        <f t="shared" si="21"/>
        <v>0.18143709108904357</v>
      </c>
      <c r="AV14" s="72">
        <f t="shared" si="22"/>
        <v>6.8700148083696927E-2</v>
      </c>
    </row>
    <row r="15" spans="1:49" x14ac:dyDescent="0.2">
      <c r="A15" s="2" t="s">
        <v>65</v>
      </c>
      <c r="E15" s="2" t="s">
        <v>502</v>
      </c>
      <c r="F15" s="2">
        <v>0</v>
      </c>
      <c r="G15" s="2">
        <v>0</v>
      </c>
      <c r="H15" s="2">
        <v>1</v>
      </c>
      <c r="I15" s="2">
        <v>0</v>
      </c>
      <c r="J15" s="25">
        <v>19.469560000000001</v>
      </c>
      <c r="K15" s="25">
        <f>L15</f>
        <v>7.7439650000000002</v>
      </c>
      <c r="L15" s="25">
        <f t="shared" si="0"/>
        <v>7.7439650000000002</v>
      </c>
      <c r="M15" s="26">
        <f t="shared" si="1"/>
        <v>7.0484410000000004</v>
      </c>
      <c r="P15" s="26">
        <v>0.69552400000000003</v>
      </c>
      <c r="S15" s="26">
        <v>7.0484410000000004</v>
      </c>
      <c r="U15" s="31">
        <f t="shared" si="2"/>
        <v>0.39774730399659775</v>
      </c>
      <c r="V15" s="31">
        <f t="shared" si="3"/>
        <v>0.39774730399659775</v>
      </c>
      <c r="W15" s="31">
        <f t="shared" si="4"/>
        <v>1</v>
      </c>
      <c r="X15" s="41">
        <f>(16.8+15.2)/2</f>
        <v>16</v>
      </c>
      <c r="Y15" s="41">
        <f>(16.8+15.2)/2</f>
        <v>16</v>
      </c>
      <c r="Z15" s="25">
        <f t="shared" si="14"/>
        <v>6.3639568639455639</v>
      </c>
      <c r="AA15" s="25">
        <f t="shared" si="5"/>
        <v>6.3639568639455639</v>
      </c>
      <c r="AC15" s="26">
        <v>11.359</v>
      </c>
      <c r="AE15" s="35">
        <v>25</v>
      </c>
      <c r="AH15" s="26">
        <f t="shared" si="6"/>
        <v>11.359</v>
      </c>
      <c r="AI15" s="26">
        <f t="shared" si="7"/>
        <v>4.518011626097354</v>
      </c>
      <c r="AL15" s="26">
        <f t="shared" si="17"/>
        <v>4.518011626097354</v>
      </c>
      <c r="AM15" s="26">
        <f>AJ15*V15</f>
        <v>0</v>
      </c>
      <c r="AO15" s="25">
        <f t="shared" si="18"/>
        <v>4.518011626097354</v>
      </c>
      <c r="AP15" s="66">
        <f t="shared" si="19"/>
        <v>0.58342355964901105</v>
      </c>
      <c r="AQ15" s="2">
        <v>0</v>
      </c>
      <c r="AR15" s="2">
        <v>0</v>
      </c>
      <c r="AT15" s="2">
        <f t="shared" si="20"/>
        <v>4.518011626097354</v>
      </c>
      <c r="AU15" s="26">
        <f t="shared" si="21"/>
        <v>4.518011626097354</v>
      </c>
      <c r="AV15" s="72">
        <f t="shared" si="22"/>
        <v>0.58342355964901105</v>
      </c>
    </row>
    <row r="16" spans="1:49" s="44" customFormat="1" ht="15" x14ac:dyDescent="0.25">
      <c r="A16" s="44" t="s">
        <v>669</v>
      </c>
      <c r="B16" s="44">
        <f>SUM(B2:B15)</f>
        <v>0</v>
      </c>
      <c r="C16" s="44">
        <f>SUM(C2:C15)</f>
        <v>0</v>
      </c>
      <c r="D16" s="44">
        <f>SUM(D2:D15)</f>
        <v>1</v>
      </c>
      <c r="E16" s="44">
        <f>COUNTA(E2:E15)</f>
        <v>14</v>
      </c>
      <c r="F16" s="44">
        <f t="shared" ref="F16:S16" si="23">SUM(F2:F15)</f>
        <v>0</v>
      </c>
      <c r="G16" s="44">
        <f t="shared" si="23"/>
        <v>0</v>
      </c>
      <c r="H16" s="44">
        <f t="shared" si="23"/>
        <v>14</v>
      </c>
      <c r="I16" s="44">
        <f t="shared" si="23"/>
        <v>0</v>
      </c>
      <c r="J16" s="52">
        <f t="shared" si="23"/>
        <v>689.69335799999988</v>
      </c>
      <c r="K16" s="52">
        <f t="shared" si="23"/>
        <v>216.63471099999995</v>
      </c>
      <c r="L16" s="52">
        <f t="shared" si="23"/>
        <v>165.69461200000001</v>
      </c>
      <c r="M16" s="53">
        <f t="shared" si="23"/>
        <v>38.423440999999997</v>
      </c>
      <c r="N16" s="53">
        <f t="shared" si="23"/>
        <v>8.6284930000000006</v>
      </c>
      <c r="O16" s="53">
        <f t="shared" si="23"/>
        <v>112.95115400000002</v>
      </c>
      <c r="P16" s="53">
        <f t="shared" si="23"/>
        <v>2.3465240000000001</v>
      </c>
      <c r="Q16" s="53">
        <f t="shared" si="23"/>
        <v>3.3450000000000002</v>
      </c>
      <c r="R16" s="53">
        <f t="shared" si="23"/>
        <v>11.723000000000001</v>
      </c>
      <c r="S16" s="53">
        <f t="shared" si="23"/>
        <v>26.700441000000001</v>
      </c>
      <c r="T16" s="53"/>
      <c r="U16" s="53"/>
      <c r="V16" s="37"/>
      <c r="W16" s="37"/>
      <c r="X16" s="104">
        <f>SUM(X2:X15)</f>
        <v>579.51</v>
      </c>
      <c r="Y16" s="104">
        <f>SUM(Y2:Y15)</f>
        <v>343.13</v>
      </c>
      <c r="Z16" s="104">
        <f>SUM(Z2:Z15)</f>
        <v>87.659960868598958</v>
      </c>
      <c r="AA16" s="104">
        <f>SUM(AA2:AA15)</f>
        <v>79.009118981389506</v>
      </c>
      <c r="AB16" s="106">
        <f>AVERAGE(AB2:AB15)</f>
        <v>0.44139763794824466</v>
      </c>
      <c r="AC16" s="53"/>
      <c r="AD16" s="53"/>
      <c r="AE16" s="40">
        <f>SUM(AE2:AE15)</f>
        <v>25</v>
      </c>
      <c r="AF16" s="40">
        <f>SUM(AF2:AF15)</f>
        <v>0</v>
      </c>
      <c r="AG16" s="40">
        <f>SUM(AG2:AG15)</f>
        <v>107244</v>
      </c>
      <c r="AH16" s="53"/>
      <c r="AI16" s="53"/>
      <c r="AJ16" s="53"/>
      <c r="AK16" s="53"/>
      <c r="AL16" s="53"/>
      <c r="AM16" s="53"/>
      <c r="AN16" s="53"/>
      <c r="AO16" s="52">
        <f>SUM(AO2:AO15)</f>
        <v>32.359445832795934</v>
      </c>
      <c r="AP16" s="102">
        <f t="shared" si="19"/>
        <v>0.19529570359714493</v>
      </c>
      <c r="AU16" s="53">
        <f>SUM(AU2:AU15)</f>
        <v>32.960805266978987</v>
      </c>
      <c r="AV16" s="105"/>
    </row>
  </sheetData>
  <pageMargins left="0.7" right="0.7" top="0.75" bottom="0.75" header="0.3" footer="0.3"/>
  <pageSetup paperSize="9" orientation="portrait" horizontalDpi="4294967292" verticalDpi="4294967292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I2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18" sqref="N18"/>
    </sheetView>
  </sheetViews>
  <sheetFormatPr defaultColWidth="8.75" defaultRowHeight="14.25" x14ac:dyDescent="0.2"/>
  <cols>
    <col min="1" max="1" width="35.5" style="2" customWidth="1"/>
    <col min="2" max="4" width="6.5" style="2" customWidth="1"/>
    <col min="5" max="5" width="7.375" style="6" bestFit="1" customWidth="1"/>
    <col min="6" max="9" width="6.25" style="6" customWidth="1"/>
    <col min="10" max="10" width="9.875" style="25" customWidth="1"/>
    <col min="11" max="11" width="9.125" style="25" customWidth="1"/>
    <col min="12" max="12" width="8.125" style="25" customWidth="1"/>
    <col min="13" max="13" width="9.375" style="26" customWidth="1"/>
    <col min="14" max="14" width="8.75" style="24" customWidth="1"/>
    <col min="15" max="16" width="10.75" style="24" customWidth="1"/>
    <col min="17" max="17" width="8.375" style="24" bestFit="1" customWidth="1"/>
    <col min="18" max="18" width="8.375" style="24" customWidth="1"/>
    <col min="19" max="19" width="11" style="26" customWidth="1"/>
    <col min="20" max="20" width="10.75" style="26" customWidth="1"/>
    <col min="21" max="21" width="10.375" style="26" bestFit="1" customWidth="1"/>
    <col min="22" max="22" width="7.375" style="26" customWidth="1"/>
    <col min="23" max="23" width="9.375" style="26" customWidth="1"/>
    <col min="24" max="24" width="11" style="26" customWidth="1"/>
    <col min="25" max="25" width="11.625" style="26" customWidth="1"/>
    <col min="26" max="27" width="11.625" style="24" customWidth="1"/>
    <col min="28" max="28" width="7.75" style="30" customWidth="1"/>
    <col min="29" max="29" width="7.25" style="31" customWidth="1"/>
    <col min="30" max="30" width="10" style="41" customWidth="1"/>
    <col min="31" max="31" width="8.75" style="25" bestFit="1" customWidth="1"/>
    <col min="32" max="32" width="9.125" style="25" customWidth="1"/>
    <col min="33" max="33" width="11.125" style="25" customWidth="1"/>
    <col min="34" max="34" width="6.625" style="25" customWidth="1"/>
    <col min="35" max="36" width="10.375" style="24" bestFit="1" customWidth="1"/>
    <col min="37" max="38" width="10.125" style="34" customWidth="1"/>
    <col min="39" max="39" width="11.75" style="34" bestFit="1" customWidth="1"/>
    <col min="40" max="41" width="11.625" style="24" customWidth="1"/>
    <col min="42" max="42" width="11.875" style="24" customWidth="1"/>
    <col min="43" max="43" width="7.375" style="24" customWidth="1"/>
    <col min="44" max="44" width="8.75" style="24" customWidth="1"/>
    <col min="45" max="45" width="7.375" style="24" customWidth="1"/>
    <col min="46" max="46" width="12.125" style="24" customWidth="1"/>
    <col min="47" max="48" width="12.125" style="24" bestFit="1" customWidth="1"/>
    <col min="49" max="49" width="12.125" style="25" bestFit="1" customWidth="1"/>
    <col min="50" max="50" width="11.625" style="5" bestFit="1" customWidth="1"/>
    <col min="51" max="16384" width="8.75" style="6"/>
  </cols>
  <sheetData>
    <row r="1" spans="1:87" s="1" customFormat="1" ht="128.25" x14ac:dyDescent="0.2">
      <c r="A1" s="3" t="s">
        <v>0</v>
      </c>
      <c r="B1" s="3" t="s">
        <v>457</v>
      </c>
      <c r="C1" s="3" t="s">
        <v>459</v>
      </c>
      <c r="D1" s="3" t="s">
        <v>458</v>
      </c>
      <c r="E1" s="1" t="s">
        <v>1</v>
      </c>
      <c r="F1" s="1" t="s">
        <v>212</v>
      </c>
      <c r="G1" s="1" t="s">
        <v>213</v>
      </c>
      <c r="H1" s="1" t="s">
        <v>214</v>
      </c>
      <c r="I1" s="1" t="s">
        <v>401</v>
      </c>
      <c r="J1" s="22" t="s">
        <v>2</v>
      </c>
      <c r="K1" s="22" t="s">
        <v>4</v>
      </c>
      <c r="L1" s="22" t="s">
        <v>8</v>
      </c>
      <c r="M1" s="23" t="s">
        <v>471</v>
      </c>
      <c r="N1" s="21" t="s">
        <v>44</v>
      </c>
      <c r="O1" s="21" t="s">
        <v>451</v>
      </c>
      <c r="P1" s="21" t="s">
        <v>450</v>
      </c>
      <c r="Q1" s="21" t="s">
        <v>43</v>
      </c>
      <c r="R1" s="21" t="s">
        <v>452</v>
      </c>
      <c r="S1" s="23" t="s">
        <v>9</v>
      </c>
      <c r="T1" s="23" t="s">
        <v>10</v>
      </c>
      <c r="U1" s="23" t="s">
        <v>12</v>
      </c>
      <c r="V1" s="23" t="s">
        <v>13</v>
      </c>
      <c r="W1" s="23" t="s">
        <v>45</v>
      </c>
      <c r="X1" s="23" t="s">
        <v>42</v>
      </c>
      <c r="Y1" s="23" t="s">
        <v>41</v>
      </c>
      <c r="Z1" s="21" t="s">
        <v>62</v>
      </c>
      <c r="AA1" s="21" t="s">
        <v>453</v>
      </c>
      <c r="AB1" s="28" t="s">
        <v>454</v>
      </c>
      <c r="AC1" s="29" t="s">
        <v>445</v>
      </c>
      <c r="AD1" s="103" t="s">
        <v>15</v>
      </c>
      <c r="AE1" s="22" t="s">
        <v>16</v>
      </c>
      <c r="AF1" s="22" t="s">
        <v>446</v>
      </c>
      <c r="AG1" s="22" t="s">
        <v>21</v>
      </c>
      <c r="AH1" s="22" t="s">
        <v>19</v>
      </c>
      <c r="AI1" s="21" t="s">
        <v>14</v>
      </c>
      <c r="AJ1" s="21" t="s">
        <v>444</v>
      </c>
      <c r="AK1" s="33" t="s">
        <v>441</v>
      </c>
      <c r="AL1" s="33" t="s">
        <v>442</v>
      </c>
      <c r="AM1" s="33" t="s">
        <v>3</v>
      </c>
      <c r="AN1" s="21" t="s">
        <v>443</v>
      </c>
      <c r="AO1" s="21" t="s">
        <v>463</v>
      </c>
      <c r="AP1" s="23" t="s">
        <v>34</v>
      </c>
      <c r="AQ1" s="23" t="s">
        <v>33</v>
      </c>
      <c r="AR1" s="23" t="s">
        <v>18</v>
      </c>
      <c r="AS1" s="23"/>
      <c r="AT1" s="23" t="s">
        <v>464</v>
      </c>
      <c r="AU1" s="23" t="s">
        <v>22</v>
      </c>
      <c r="AV1" s="23" t="s">
        <v>23</v>
      </c>
      <c r="AW1" s="22" t="s">
        <v>17</v>
      </c>
      <c r="AX1" s="61" t="s">
        <v>11</v>
      </c>
      <c r="AY1" s="1" t="s">
        <v>411</v>
      </c>
      <c r="AZ1" s="1" t="s">
        <v>412</v>
      </c>
      <c r="BB1" s="1" t="s">
        <v>465</v>
      </c>
      <c r="BC1" s="1" t="s">
        <v>447</v>
      </c>
      <c r="BE1" s="1" t="s">
        <v>448</v>
      </c>
    </row>
    <row r="2" spans="1:87" x14ac:dyDescent="0.2">
      <c r="A2" s="2" t="s">
        <v>69</v>
      </c>
      <c r="E2" s="6" t="s">
        <v>502</v>
      </c>
      <c r="F2" s="6">
        <v>0</v>
      </c>
      <c r="G2" s="6">
        <v>1</v>
      </c>
      <c r="H2" s="6">
        <v>0</v>
      </c>
      <c r="I2" s="6">
        <v>0</v>
      </c>
      <c r="J2" s="25">
        <v>49.478999999999999</v>
      </c>
      <c r="K2" s="25">
        <f>L2</f>
        <v>11.699</v>
      </c>
      <c r="L2" s="25">
        <f t="shared" ref="L2:L18" si="0">SUM(N2:R2)</f>
        <v>11.699</v>
      </c>
      <c r="N2" s="24">
        <f t="shared" ref="N2:N22" si="1">SUM(S2:W2)</f>
        <v>0</v>
      </c>
      <c r="O2" s="24">
        <v>11.699</v>
      </c>
      <c r="AA2" s="31">
        <f>IF(K2&gt;0,(K2-Z2)/(J2-Z2),(L2-Z2)/(J2-Z2))</f>
        <v>0.23644374381050548</v>
      </c>
      <c r="AB2" s="31">
        <f>(L2-Z2)/(J2-Z2)</f>
        <v>0.23644374381050548</v>
      </c>
      <c r="AC2" s="31">
        <f t="shared" ref="AC2:AC23" si="2">AB2/AA2</f>
        <v>1</v>
      </c>
      <c r="AD2" s="41">
        <f>33.7+25</f>
        <v>58.7</v>
      </c>
      <c r="AE2" s="25">
        <v>33.700000000000003</v>
      </c>
      <c r="AF2" s="25">
        <f>AA2*AE2</f>
        <v>7.9681541664140356</v>
      </c>
      <c r="AG2" s="25">
        <f>AB2*AE2</f>
        <v>7.9681541664140356</v>
      </c>
      <c r="AH2" s="25">
        <f>5/33.5</f>
        <v>0.14925373134328357</v>
      </c>
      <c r="AI2" s="24">
        <f>14.275+0.797</f>
        <v>15.072000000000001</v>
      </c>
      <c r="AJ2" s="24">
        <f>7.063*(AI2/(AI2+1.908))</f>
        <v>6.2693484098939933</v>
      </c>
      <c r="AN2" s="26">
        <f t="shared" ref="AN2:AN23" si="3">SUM(AI2:AJ2)</f>
        <v>21.341348409893996</v>
      </c>
      <c r="AO2" s="26">
        <f t="shared" ref="AO2:AO23" si="4">AN2*AG2/AE2</f>
        <v>5.046028315999715</v>
      </c>
      <c r="AT2" s="26">
        <f t="shared" ref="AT2:AT13" si="5">IF(AU2&gt;0,0,MAX(0,(AN2-0.8*AQ2)*AB2))</f>
        <v>5.0460283159997141</v>
      </c>
      <c r="AU2" s="24">
        <f>AP2*AB2</f>
        <v>0</v>
      </c>
      <c r="AV2" s="24">
        <f>AQ2*AB2</f>
        <v>0</v>
      </c>
      <c r="AW2" s="25">
        <f t="shared" ref="AW2:AW23" si="6">SUM(AT2:AV2)</f>
        <v>5.0460283159997141</v>
      </c>
      <c r="AX2" s="66">
        <f t="shared" ref="AX2:AX24" si="7">AW2/L2</f>
        <v>0.43132133652446486</v>
      </c>
      <c r="AY2" s="6">
        <v>0</v>
      </c>
      <c r="AZ2" s="6">
        <v>0</v>
      </c>
      <c r="BB2" s="2">
        <f t="shared" ref="BB2:BB13" si="8">MAX(0,(AN2-0.8*AQ2)*AB2)</f>
        <v>5.0460283159997141</v>
      </c>
      <c r="BC2" s="26">
        <f t="shared" ref="BC2:BC23" si="9">BB2+AV2</f>
        <v>5.0460283159997141</v>
      </c>
      <c r="BD2" s="38">
        <f t="shared" ref="BD2:BD24" si="10">BC2/L2</f>
        <v>0.43132133652446486</v>
      </c>
    </row>
    <row r="3" spans="1:87" x14ac:dyDescent="0.2">
      <c r="A3" s="2" t="s">
        <v>82</v>
      </c>
      <c r="E3" s="6" t="s">
        <v>502</v>
      </c>
      <c r="F3" s="6">
        <v>0</v>
      </c>
      <c r="G3" s="6">
        <v>1</v>
      </c>
      <c r="H3" s="6">
        <v>0</v>
      </c>
      <c r="I3" s="6">
        <v>0</v>
      </c>
      <c r="J3" s="25">
        <f>0.05731+0.318158+2.451696</f>
        <v>2.8271640000000002</v>
      </c>
      <c r="K3" s="25">
        <f t="shared" ref="K3:K5" si="11">L3</f>
        <v>2.4860000000000002</v>
      </c>
      <c r="L3" s="25">
        <f t="shared" si="0"/>
        <v>2.4860000000000002</v>
      </c>
      <c r="N3" s="24">
        <f t="shared" si="1"/>
        <v>0</v>
      </c>
      <c r="O3" s="24">
        <v>2.4860000000000002</v>
      </c>
      <c r="AA3" s="31">
        <f>IF(K3&gt;0,(K3-Z3)/(J3-Z3),(L3-Z3)/(J3-Z3))</f>
        <v>0.87932642039867515</v>
      </c>
      <c r="AB3" s="31">
        <f>(L3-Z3)/(J3-Z3)</f>
        <v>0.87932642039867515</v>
      </c>
      <c r="AC3" s="31">
        <f t="shared" si="2"/>
        <v>1</v>
      </c>
      <c r="AF3" s="25">
        <f>AA3*AE3</f>
        <v>0</v>
      </c>
      <c r="AG3" s="25">
        <f>AB3*AE3</f>
        <v>0</v>
      </c>
      <c r="AM3" s="34">
        <v>406</v>
      </c>
      <c r="AN3" s="26">
        <f t="shared" si="3"/>
        <v>0</v>
      </c>
      <c r="AO3" s="26" t="e">
        <f t="shared" si="4"/>
        <v>#DIV/0!</v>
      </c>
      <c r="AQ3" s="24">
        <f>0.02*J3</f>
        <v>5.6543280000000008E-2</v>
      </c>
      <c r="AT3" s="26">
        <f t="shared" si="5"/>
        <v>0</v>
      </c>
      <c r="AU3" s="24">
        <f>AP3*AB3</f>
        <v>0</v>
      </c>
      <c r="AV3" s="24">
        <f>AQ3*AB3</f>
        <v>4.9720000000000007E-2</v>
      </c>
      <c r="AW3" s="25">
        <f t="shared" si="6"/>
        <v>4.9720000000000007E-2</v>
      </c>
      <c r="AX3" s="66">
        <f t="shared" si="7"/>
        <v>0.02</v>
      </c>
      <c r="AY3" s="6">
        <v>0</v>
      </c>
      <c r="AZ3" s="6">
        <v>0</v>
      </c>
      <c r="BB3" s="2">
        <f t="shared" si="8"/>
        <v>0</v>
      </c>
      <c r="BC3" s="26">
        <f t="shared" si="9"/>
        <v>4.9720000000000007E-2</v>
      </c>
      <c r="BD3" s="38">
        <f t="shared" si="10"/>
        <v>0.02</v>
      </c>
    </row>
    <row r="4" spans="1:87" x14ac:dyDescent="0.2">
      <c r="A4" s="2" t="s">
        <v>91</v>
      </c>
      <c r="E4" s="6" t="s">
        <v>502</v>
      </c>
      <c r="F4" s="6">
        <v>0</v>
      </c>
      <c r="G4" s="6">
        <v>1</v>
      </c>
      <c r="H4" s="6">
        <v>0</v>
      </c>
      <c r="I4" s="6">
        <v>0</v>
      </c>
      <c r="J4" s="25">
        <v>77.751999999999995</v>
      </c>
      <c r="K4" s="25">
        <f t="shared" si="11"/>
        <v>1.446</v>
      </c>
      <c r="L4" s="25">
        <f t="shared" si="0"/>
        <v>1.446</v>
      </c>
      <c r="N4" s="24">
        <f t="shared" si="1"/>
        <v>0</v>
      </c>
      <c r="O4" s="24">
        <v>1.446</v>
      </c>
      <c r="AA4" s="31">
        <f>IF(K4&gt;0,(K4-Z4)/(J4-Z4),(L4-Z4)/(J4-Z4))</f>
        <v>1.8597592344891452E-2</v>
      </c>
      <c r="AB4" s="31">
        <f>(L4-Z4)/(J4-Z4)</f>
        <v>1.8597592344891452E-2</v>
      </c>
      <c r="AC4" s="31">
        <f t="shared" si="2"/>
        <v>1</v>
      </c>
      <c r="AD4" s="41">
        <v>119</v>
      </c>
      <c r="AE4" s="25">
        <v>119</v>
      </c>
      <c r="AF4" s="25">
        <f>AA4*AE4</f>
        <v>2.2131134890420827</v>
      </c>
      <c r="AG4" s="25">
        <f>AB4*AE4</f>
        <v>2.2131134890420827</v>
      </c>
      <c r="AH4" s="25">
        <f>42/AD4</f>
        <v>0.35294117647058826</v>
      </c>
      <c r="AI4" s="24">
        <f>32.55+0.825</f>
        <v>33.375</v>
      </c>
      <c r="AJ4" s="24">
        <v>13.263999999999999</v>
      </c>
      <c r="AM4" s="34">
        <v>135</v>
      </c>
      <c r="AN4" s="26">
        <f t="shared" si="3"/>
        <v>46.638999999999996</v>
      </c>
      <c r="AO4" s="26">
        <f t="shared" si="4"/>
        <v>0.86737310937339229</v>
      </c>
      <c r="AT4" s="26">
        <f t="shared" si="5"/>
        <v>0.86737310937339229</v>
      </c>
      <c r="AU4" s="24">
        <f>AP4*AB4</f>
        <v>0</v>
      </c>
      <c r="AW4" s="25">
        <f t="shared" si="6"/>
        <v>0.86737310937339229</v>
      </c>
      <c r="AX4" s="66">
        <f t="shared" si="7"/>
        <v>0.59984309085296839</v>
      </c>
      <c r="AY4" s="6">
        <v>0</v>
      </c>
      <c r="AZ4" s="6">
        <v>0</v>
      </c>
      <c r="BB4" s="2">
        <f t="shared" si="8"/>
        <v>0.86737310937339229</v>
      </c>
      <c r="BC4" s="26">
        <f t="shared" si="9"/>
        <v>0.86737310937339229</v>
      </c>
      <c r="BD4" s="38">
        <f t="shared" si="10"/>
        <v>0.59984309085296839</v>
      </c>
    </row>
    <row r="5" spans="1:87" x14ac:dyDescent="0.2">
      <c r="A5" s="2" t="s">
        <v>97</v>
      </c>
      <c r="D5" s="2">
        <v>1</v>
      </c>
      <c r="E5" s="6" t="s">
        <v>502</v>
      </c>
      <c r="F5" s="6">
        <v>0</v>
      </c>
      <c r="G5" s="6">
        <v>1</v>
      </c>
      <c r="H5" s="6">
        <v>0</v>
      </c>
      <c r="I5" s="6">
        <v>0</v>
      </c>
      <c r="K5" s="25">
        <f t="shared" si="11"/>
        <v>1.4750000000000001</v>
      </c>
      <c r="L5" s="25">
        <f t="shared" si="0"/>
        <v>1.4750000000000001</v>
      </c>
      <c r="N5" s="24">
        <f t="shared" si="1"/>
        <v>0</v>
      </c>
      <c r="O5" s="24">
        <v>1.4750000000000001</v>
      </c>
      <c r="AA5" s="31"/>
      <c r="AB5" s="31"/>
      <c r="AN5" s="26">
        <f t="shared" si="3"/>
        <v>0</v>
      </c>
      <c r="AO5" s="26" t="e">
        <f t="shared" si="4"/>
        <v>#DIV/0!</v>
      </c>
      <c r="AT5" s="26">
        <f t="shared" si="5"/>
        <v>0</v>
      </c>
      <c r="AU5" s="24">
        <f>AP5*AB5</f>
        <v>0</v>
      </c>
      <c r="AW5" s="25">
        <f t="shared" si="6"/>
        <v>0</v>
      </c>
      <c r="AX5" s="66">
        <f t="shared" si="7"/>
        <v>0</v>
      </c>
      <c r="AY5" s="6">
        <v>1</v>
      </c>
      <c r="AZ5" s="6">
        <v>0</v>
      </c>
      <c r="BB5" s="2">
        <f t="shared" si="8"/>
        <v>0</v>
      </c>
      <c r="BC5" s="26">
        <f t="shared" si="9"/>
        <v>0</v>
      </c>
      <c r="BD5" s="38">
        <f t="shared" si="10"/>
        <v>0</v>
      </c>
    </row>
    <row r="6" spans="1:87" x14ac:dyDescent="0.2">
      <c r="A6" s="2" t="s">
        <v>100</v>
      </c>
      <c r="E6" s="6" t="s">
        <v>502</v>
      </c>
      <c r="F6" s="6">
        <v>0</v>
      </c>
      <c r="G6" s="6">
        <v>1</v>
      </c>
      <c r="H6" s="6">
        <v>0</v>
      </c>
      <c r="I6" s="6">
        <v>0</v>
      </c>
      <c r="J6" s="25">
        <v>6.6125420000000004</v>
      </c>
      <c r="K6" s="25">
        <v>6.6125420000000004</v>
      </c>
      <c r="L6" s="25">
        <f t="shared" si="0"/>
        <v>5.8650000000000002</v>
      </c>
      <c r="N6" s="24">
        <f t="shared" si="1"/>
        <v>0</v>
      </c>
      <c r="O6" s="24">
        <v>5.8650000000000002</v>
      </c>
      <c r="AA6" s="31">
        <f>IF(K6&gt;0,(K6-Z6)/(J6-Z6),(L6-Z6)/(J6-Z6))</f>
        <v>1</v>
      </c>
      <c r="AB6" s="31">
        <f>(L6-Z6)/(J6-Z6)</f>
        <v>0.88695088817583312</v>
      </c>
      <c r="AC6" s="31">
        <f t="shared" si="2"/>
        <v>0.88695088817583312</v>
      </c>
      <c r="AD6" s="41">
        <v>3.4</v>
      </c>
      <c r="AE6" s="25">
        <v>3.4</v>
      </c>
      <c r="AF6" s="25">
        <f>AA6*AE6</f>
        <v>3.4</v>
      </c>
      <c r="AG6" s="25">
        <f>AB6*AE6</f>
        <v>3.0156330197978325</v>
      </c>
      <c r="AH6" s="25">
        <f>2/3.4</f>
        <v>0.58823529411764708</v>
      </c>
      <c r="AI6" s="24">
        <v>1.3347070000000001</v>
      </c>
      <c r="AJ6" s="24">
        <v>0.37895600000000002</v>
      </c>
      <c r="AN6" s="26">
        <f t="shared" si="3"/>
        <v>1.7136630000000002</v>
      </c>
      <c r="AO6" s="26">
        <f t="shared" si="4"/>
        <v>1.5199349198840628</v>
      </c>
      <c r="AQ6" s="24">
        <v>0.26111200000000001</v>
      </c>
      <c r="AT6" s="26">
        <f t="shared" si="5"/>
        <v>1.3346601036333683</v>
      </c>
      <c r="AV6" s="24">
        <f>AQ6*AB6</f>
        <v>0.23159352031336813</v>
      </c>
      <c r="AW6" s="25">
        <f t="shared" si="6"/>
        <v>1.5662536239467364</v>
      </c>
      <c r="AX6" s="66">
        <f t="shared" si="7"/>
        <v>0.26705091627395333</v>
      </c>
      <c r="AY6" s="6">
        <v>1</v>
      </c>
      <c r="AZ6" s="6">
        <v>1</v>
      </c>
      <c r="BB6" s="2">
        <f t="shared" si="8"/>
        <v>1.3346601036333683</v>
      </c>
      <c r="BC6" s="26">
        <f t="shared" si="9"/>
        <v>1.5662536239467364</v>
      </c>
      <c r="BD6" s="38">
        <f t="shared" si="10"/>
        <v>0.26705091627395333</v>
      </c>
    </row>
    <row r="7" spans="1:87" x14ac:dyDescent="0.2">
      <c r="A7" s="2" t="s">
        <v>106</v>
      </c>
      <c r="E7" s="6" t="s">
        <v>502</v>
      </c>
      <c r="F7" s="6">
        <v>0</v>
      </c>
      <c r="G7" s="6">
        <v>1</v>
      </c>
      <c r="H7" s="6">
        <v>0</v>
      </c>
      <c r="I7" s="6">
        <v>0</v>
      </c>
      <c r="J7" s="25">
        <f>1.669232+1.728596</f>
        <v>3.3978280000000001</v>
      </c>
      <c r="K7" s="25">
        <f>1.669232+1.728596</f>
        <v>3.3978280000000001</v>
      </c>
      <c r="L7" s="25">
        <f t="shared" si="0"/>
        <v>2.5240010000000002</v>
      </c>
      <c r="N7" s="24">
        <f t="shared" si="1"/>
        <v>0</v>
      </c>
      <c r="O7" s="24">
        <v>2.5240010000000002</v>
      </c>
      <c r="AA7" s="31">
        <f>IF(K7&gt;0,(K7-Z7)/(J7-Z7),(L7-Z7)/(J7-Z7))</f>
        <v>1</v>
      </c>
      <c r="AB7" s="31">
        <f>(L7-Z7)/(J7-Z7)</f>
        <v>0.74282777115263043</v>
      </c>
      <c r="AC7" s="31">
        <f t="shared" si="2"/>
        <v>0.74282777115263043</v>
      </c>
      <c r="AD7" s="41">
        <f>0.75+0.45+0.4+0.17+0.2+0.2+0.11+0.03</f>
        <v>2.3099999999999996</v>
      </c>
      <c r="AE7" s="25">
        <f>0.75+0.45+0.4+0.17+0.2+0.2+0.11+0.03</f>
        <v>2.3099999999999996</v>
      </c>
      <c r="AF7" s="25">
        <f>AA7*AE7</f>
        <v>2.3099999999999996</v>
      </c>
      <c r="AG7" s="25">
        <f>AB7*AE7</f>
        <v>1.715932151362576</v>
      </c>
      <c r="AH7" s="25">
        <f>(0.75+0.45+0.2+0.2)/AF7</f>
        <v>0.69264069264069272</v>
      </c>
      <c r="AI7" s="24">
        <v>0.70335899999999996</v>
      </c>
      <c r="AJ7" s="24">
        <v>0.21999099999999999</v>
      </c>
      <c r="AK7" s="34">
        <v>66</v>
      </c>
      <c r="AM7" s="34">
        <v>88</v>
      </c>
      <c r="AN7" s="26">
        <f t="shared" si="3"/>
        <v>0.92334999999999989</v>
      </c>
      <c r="AO7" s="26">
        <f t="shared" si="4"/>
        <v>0.68589002249378128</v>
      </c>
      <c r="AT7" s="26">
        <f t="shared" si="5"/>
        <v>0.68589002249378128</v>
      </c>
      <c r="AU7" s="24">
        <f t="shared" ref="AU7:AU23" si="12">AP7*AB7</f>
        <v>0</v>
      </c>
      <c r="AV7" s="24">
        <v>0.24399999999999999</v>
      </c>
      <c r="AW7" s="25">
        <f t="shared" si="6"/>
        <v>0.92989002249378128</v>
      </c>
      <c r="AX7" s="66">
        <f t="shared" si="7"/>
        <v>0.368419038856871</v>
      </c>
      <c r="AY7" s="6">
        <v>0</v>
      </c>
      <c r="AZ7" s="6">
        <v>0</v>
      </c>
      <c r="BB7" s="2">
        <f t="shared" si="8"/>
        <v>0.68589002249378128</v>
      </c>
      <c r="BC7" s="26">
        <f t="shared" si="9"/>
        <v>0.92989002249378128</v>
      </c>
      <c r="BD7" s="38">
        <f t="shared" si="10"/>
        <v>0.368419038856871</v>
      </c>
    </row>
    <row r="8" spans="1:87" x14ac:dyDescent="0.2">
      <c r="A8" s="2" t="s">
        <v>108</v>
      </c>
      <c r="E8" s="6" t="s">
        <v>502</v>
      </c>
      <c r="F8" s="6">
        <v>0</v>
      </c>
      <c r="G8" s="6">
        <v>1</v>
      </c>
      <c r="H8" s="6">
        <v>0</v>
      </c>
      <c r="I8" s="6">
        <v>0</v>
      </c>
      <c r="J8" s="25">
        <f>3.25217+0.361901+0.292534+0.252+0.1+0.0261+0.054178</f>
        <v>4.3388829999999992</v>
      </c>
      <c r="K8" s="25">
        <f>3.25217+0.361901+0.292534</f>
        <v>3.9066049999999999</v>
      </c>
      <c r="L8" s="25">
        <f t="shared" si="0"/>
        <v>3.6070000000000002</v>
      </c>
      <c r="N8" s="24">
        <f t="shared" si="1"/>
        <v>0</v>
      </c>
      <c r="O8" s="24">
        <v>3.6070000000000002</v>
      </c>
      <c r="AA8" s="31">
        <f>IF(K8&gt;0,(K8-Z8)/(J8-Z8),(L8-Z8)/(J8-Z8))</f>
        <v>0.90037113238591604</v>
      </c>
      <c r="AB8" s="31">
        <f>(L8-Z8)/(J8-Z8)</f>
        <v>0.83131995031901085</v>
      </c>
      <c r="AC8" s="31">
        <f t="shared" si="2"/>
        <v>0.92330808976080259</v>
      </c>
      <c r="AD8" s="41">
        <v>0</v>
      </c>
      <c r="AE8" s="25">
        <v>0</v>
      </c>
      <c r="AF8" s="25">
        <f>AA8*AE8</f>
        <v>0</v>
      </c>
      <c r="AG8" s="25">
        <f>AB8*AE8</f>
        <v>0</v>
      </c>
      <c r="AH8" s="25">
        <v>0</v>
      </c>
      <c r="AN8" s="26">
        <f t="shared" si="3"/>
        <v>0</v>
      </c>
      <c r="AO8" s="26" t="e">
        <f t="shared" si="4"/>
        <v>#DIV/0!</v>
      </c>
      <c r="AP8" s="24">
        <f>SUM(AI8:AJ8)+0.823329</f>
        <v>0.82332899999999998</v>
      </c>
      <c r="AQ8" s="24">
        <v>0.29209200000000002</v>
      </c>
      <c r="AT8" s="26">
        <f t="shared" si="5"/>
        <v>0</v>
      </c>
      <c r="AU8" s="24">
        <f t="shared" si="12"/>
        <v>0.68444982337620086</v>
      </c>
      <c r="AV8" s="24">
        <f>AQ8*AC8</f>
        <v>0.26969090655441236</v>
      </c>
      <c r="AW8" s="25">
        <f t="shared" si="6"/>
        <v>0.95414072993061327</v>
      </c>
      <c r="AX8" s="66">
        <f t="shared" si="7"/>
        <v>0.26452473799018944</v>
      </c>
      <c r="AY8" s="6">
        <v>1</v>
      </c>
      <c r="AZ8" s="6">
        <v>1</v>
      </c>
      <c r="BB8" s="2">
        <f t="shared" si="8"/>
        <v>0</v>
      </c>
      <c r="BC8" s="26">
        <f t="shared" si="9"/>
        <v>0.26969090655441236</v>
      </c>
      <c r="BD8" s="38">
        <f t="shared" si="10"/>
        <v>7.4768757015362453E-2</v>
      </c>
    </row>
    <row r="9" spans="1:87" x14ac:dyDescent="0.2">
      <c r="A9" s="2" t="s">
        <v>460</v>
      </c>
      <c r="E9" s="6" t="s">
        <v>502</v>
      </c>
      <c r="F9" s="6">
        <v>0</v>
      </c>
      <c r="G9" s="6">
        <v>1</v>
      </c>
      <c r="H9" s="6">
        <v>0</v>
      </c>
      <c r="I9" s="6">
        <v>0</v>
      </c>
      <c r="J9" s="25">
        <v>18.708589</v>
      </c>
      <c r="K9" s="25">
        <v>18.708589</v>
      </c>
      <c r="L9" s="25">
        <f t="shared" si="0"/>
        <v>13.16309</v>
      </c>
      <c r="N9" s="24">
        <f t="shared" si="1"/>
        <v>0</v>
      </c>
      <c r="O9" s="24">
        <v>13.16309</v>
      </c>
      <c r="AA9" s="31">
        <f>IF(K9&gt;0,(K9-Z9)/(J9-Z9),(L9-Z9)/(J9-Z9))</f>
        <v>1</v>
      </c>
      <c r="AB9" s="31">
        <f>(L9-Z9)/(J9-Z9)</f>
        <v>0.70358539599111403</v>
      </c>
      <c r="AC9" s="31">
        <f t="shared" si="2"/>
        <v>0.70358539599111403</v>
      </c>
      <c r="AD9" s="41">
        <f>6+8</f>
        <v>14</v>
      </c>
      <c r="AE9" s="25">
        <v>6</v>
      </c>
      <c r="AF9" s="25">
        <f>AA9*AE9</f>
        <v>6</v>
      </c>
      <c r="AG9" s="25">
        <f>AB9*AE9</f>
        <v>4.2215123759466842</v>
      </c>
      <c r="AI9" s="24">
        <v>3.0095160000000001</v>
      </c>
      <c r="AK9" s="34">
        <v>4</v>
      </c>
      <c r="AN9" s="26">
        <f t="shared" si="3"/>
        <v>3.0095160000000001</v>
      </c>
      <c r="AO9" s="26">
        <f t="shared" si="4"/>
        <v>2.1174515066015935</v>
      </c>
      <c r="AP9" s="24">
        <f>2.989029+0.275877</f>
        <v>3.2649059999999999</v>
      </c>
      <c r="AQ9" s="24">
        <v>0.84853400000000001</v>
      </c>
      <c r="AR9" s="24">
        <v>0.57927600000000001</v>
      </c>
      <c r="AT9" s="26">
        <f t="shared" si="5"/>
        <v>0</v>
      </c>
      <c r="AU9" s="24">
        <f t="shared" si="12"/>
        <v>2.2971401808837641</v>
      </c>
      <c r="AV9" s="24">
        <f>AQ9*AC9</f>
        <v>0.59701613040192392</v>
      </c>
      <c r="AW9" s="25">
        <f t="shared" si="6"/>
        <v>2.8941563112856881</v>
      </c>
      <c r="AX9" s="66">
        <f t="shared" si="7"/>
        <v>0.21986906655547353</v>
      </c>
      <c r="AY9" s="6">
        <v>0</v>
      </c>
      <c r="AZ9" s="6">
        <v>0</v>
      </c>
      <c r="BB9" s="2">
        <f t="shared" si="8"/>
        <v>1.6398386022800542</v>
      </c>
      <c r="BC9" s="26">
        <f t="shared" si="9"/>
        <v>2.2368547326819783</v>
      </c>
      <c r="BD9" s="38">
        <f t="shared" si="10"/>
        <v>0.16993386299736446</v>
      </c>
    </row>
    <row r="10" spans="1:87" x14ac:dyDescent="0.2">
      <c r="A10" s="2" t="s">
        <v>123</v>
      </c>
      <c r="D10" s="2">
        <v>1</v>
      </c>
      <c r="E10" s="6" t="s">
        <v>502</v>
      </c>
      <c r="F10" s="6">
        <v>0</v>
      </c>
      <c r="G10" s="6">
        <v>1</v>
      </c>
      <c r="H10" s="6">
        <v>0</v>
      </c>
      <c r="I10" s="6">
        <v>0</v>
      </c>
      <c r="K10" s="25">
        <f>L10</f>
        <v>1.1950000000000001</v>
      </c>
      <c r="L10" s="25">
        <f t="shared" si="0"/>
        <v>1.1950000000000001</v>
      </c>
      <c r="N10" s="24">
        <f t="shared" si="1"/>
        <v>0</v>
      </c>
      <c r="O10" s="24">
        <v>1.1950000000000001</v>
      </c>
      <c r="AA10" s="31"/>
      <c r="AB10" s="31"/>
      <c r="AN10" s="26">
        <f t="shared" si="3"/>
        <v>0</v>
      </c>
      <c r="AO10" s="26" t="e">
        <f t="shared" si="4"/>
        <v>#DIV/0!</v>
      </c>
      <c r="AT10" s="26">
        <f t="shared" si="5"/>
        <v>0</v>
      </c>
      <c r="AU10" s="24">
        <f t="shared" si="12"/>
        <v>0</v>
      </c>
      <c r="AW10" s="25">
        <f t="shared" si="6"/>
        <v>0</v>
      </c>
      <c r="AX10" s="66">
        <f t="shared" si="7"/>
        <v>0</v>
      </c>
      <c r="AY10" s="6">
        <v>1</v>
      </c>
      <c r="AZ10" s="6">
        <v>0</v>
      </c>
      <c r="BB10" s="2">
        <f t="shared" si="8"/>
        <v>0</v>
      </c>
      <c r="BC10" s="26">
        <f t="shared" si="9"/>
        <v>0</v>
      </c>
      <c r="BD10" s="38">
        <f t="shared" si="10"/>
        <v>0</v>
      </c>
    </row>
    <row r="11" spans="1:87" x14ac:dyDescent="0.2">
      <c r="A11" s="2" t="s">
        <v>125</v>
      </c>
      <c r="D11" s="2">
        <v>1</v>
      </c>
      <c r="E11" s="6" t="s">
        <v>502</v>
      </c>
      <c r="F11" s="6">
        <v>0</v>
      </c>
      <c r="G11" s="6">
        <v>1</v>
      </c>
      <c r="H11" s="6">
        <v>0</v>
      </c>
      <c r="I11" s="6">
        <v>0</v>
      </c>
      <c r="K11" s="25">
        <f>L11</f>
        <v>5.6719999999999997</v>
      </c>
      <c r="L11" s="25">
        <f t="shared" si="0"/>
        <v>5.6719999999999997</v>
      </c>
      <c r="N11" s="24">
        <f t="shared" si="1"/>
        <v>0</v>
      </c>
      <c r="O11" s="24">
        <v>5.6719999999999997</v>
      </c>
      <c r="AA11" s="31"/>
      <c r="AB11" s="31"/>
      <c r="AN11" s="26">
        <f t="shared" si="3"/>
        <v>0</v>
      </c>
      <c r="AO11" s="26" t="e">
        <f t="shared" si="4"/>
        <v>#DIV/0!</v>
      </c>
      <c r="AT11" s="26">
        <f t="shared" si="5"/>
        <v>0</v>
      </c>
      <c r="AU11" s="24">
        <f t="shared" si="12"/>
        <v>0</v>
      </c>
      <c r="AW11" s="25">
        <f t="shared" si="6"/>
        <v>0</v>
      </c>
      <c r="AX11" s="66">
        <f t="shared" si="7"/>
        <v>0</v>
      </c>
      <c r="AY11" s="6">
        <v>1</v>
      </c>
      <c r="AZ11" s="6">
        <v>0</v>
      </c>
      <c r="BB11" s="2">
        <f t="shared" si="8"/>
        <v>0</v>
      </c>
      <c r="BC11" s="26">
        <f t="shared" si="9"/>
        <v>0</v>
      </c>
      <c r="BD11" s="38">
        <f t="shared" si="10"/>
        <v>0</v>
      </c>
    </row>
    <row r="12" spans="1:87" x14ac:dyDescent="0.2">
      <c r="A12" s="2" t="s">
        <v>134</v>
      </c>
      <c r="E12" s="6" t="s">
        <v>502</v>
      </c>
      <c r="F12" s="6">
        <v>0</v>
      </c>
      <c r="G12" s="6">
        <v>1</v>
      </c>
      <c r="H12" s="6">
        <v>0</v>
      </c>
      <c r="I12" s="6">
        <v>0</v>
      </c>
      <c r="J12" s="25">
        <v>22.021260000000002</v>
      </c>
      <c r="K12" s="25">
        <v>22.021260000000002</v>
      </c>
      <c r="L12" s="25">
        <f t="shared" si="0"/>
        <v>16.689233000000002</v>
      </c>
      <c r="N12" s="24">
        <f t="shared" si="1"/>
        <v>0</v>
      </c>
      <c r="O12" s="24">
        <v>16.689233000000002</v>
      </c>
      <c r="AA12" s="31">
        <f>IF(K12&gt;0,(K12-Z12)/(J12-Z12),(L12-Z12)/(J12-Z12))</f>
        <v>1</v>
      </c>
      <c r="AB12" s="31">
        <f>(L12-Z12)/(J12-Z12)</f>
        <v>0.757869122838566</v>
      </c>
      <c r="AC12" s="31">
        <f t="shared" si="2"/>
        <v>0.757869122838566</v>
      </c>
      <c r="AD12" s="41">
        <f>10.47+10+1</f>
        <v>21.47</v>
      </c>
      <c r="AE12" s="25">
        <v>10.47</v>
      </c>
      <c r="AF12" s="25">
        <f>AA12*AE12</f>
        <v>10.47</v>
      </c>
      <c r="AG12" s="25">
        <f>AB12*AE12</f>
        <v>7.9348897161197867</v>
      </c>
      <c r="AH12" s="25">
        <f>4.4/10.5</f>
        <v>0.41904761904761906</v>
      </c>
      <c r="AI12" s="24">
        <f>0.073417+3.601678</f>
        <v>3.6750950000000002</v>
      </c>
      <c r="AJ12" s="24">
        <v>1.206788</v>
      </c>
      <c r="AM12" s="34">
        <v>1000</v>
      </c>
      <c r="AN12" s="26">
        <f t="shared" si="3"/>
        <v>4.8818830000000002</v>
      </c>
      <c r="AO12" s="26">
        <f t="shared" si="4"/>
        <v>3.6998283870105069</v>
      </c>
      <c r="AQ12" s="24">
        <v>0.584731</v>
      </c>
      <c r="AR12" s="24">
        <v>0.281638</v>
      </c>
      <c r="AT12" s="26">
        <f t="shared" si="5"/>
        <v>3.3453087309572931</v>
      </c>
      <c r="AU12" s="24">
        <f t="shared" si="12"/>
        <v>0</v>
      </c>
      <c r="AV12" s="24">
        <f>AQ12*AC12</f>
        <v>0.44314957006651756</v>
      </c>
      <c r="AW12" s="25">
        <f t="shared" si="6"/>
        <v>3.7884583010238106</v>
      </c>
      <c r="AX12" s="66">
        <f t="shared" si="7"/>
        <v>0.22700014440590591</v>
      </c>
      <c r="AY12" s="6">
        <v>1</v>
      </c>
      <c r="AZ12" s="6">
        <v>1</v>
      </c>
      <c r="BB12" s="2">
        <f t="shared" si="8"/>
        <v>3.3453087309572931</v>
      </c>
      <c r="BC12" s="26">
        <f t="shared" si="9"/>
        <v>3.7884583010238106</v>
      </c>
      <c r="BD12" s="38">
        <f t="shared" si="10"/>
        <v>0.22700014440590591</v>
      </c>
    </row>
    <row r="13" spans="1:87" x14ac:dyDescent="0.2">
      <c r="A13" s="2" t="s">
        <v>136</v>
      </c>
      <c r="D13" s="2">
        <v>1</v>
      </c>
      <c r="E13" s="6" t="s">
        <v>502</v>
      </c>
      <c r="F13" s="6">
        <v>0</v>
      </c>
      <c r="G13" s="6">
        <v>1</v>
      </c>
      <c r="H13" s="6">
        <v>0</v>
      </c>
      <c r="I13" s="6">
        <v>0</v>
      </c>
      <c r="K13" s="25">
        <f>L13</f>
        <v>4.9950000000000001</v>
      </c>
      <c r="L13" s="25">
        <f t="shared" si="0"/>
        <v>4.9950000000000001</v>
      </c>
      <c r="M13" s="26">
        <v>0.18</v>
      </c>
      <c r="N13" s="24">
        <f t="shared" si="1"/>
        <v>0</v>
      </c>
      <c r="O13" s="24">
        <v>4.9950000000000001</v>
      </c>
      <c r="AA13" s="31"/>
      <c r="AB13" s="31"/>
      <c r="AN13" s="26">
        <f t="shared" si="3"/>
        <v>0</v>
      </c>
      <c r="AO13" s="26" t="e">
        <f t="shared" si="4"/>
        <v>#DIV/0!</v>
      </c>
      <c r="AT13" s="26">
        <f t="shared" si="5"/>
        <v>0</v>
      </c>
      <c r="AU13" s="24">
        <f t="shared" si="12"/>
        <v>0</v>
      </c>
      <c r="AW13" s="25">
        <f t="shared" si="6"/>
        <v>0</v>
      </c>
      <c r="AX13" s="66">
        <f t="shared" si="7"/>
        <v>0</v>
      </c>
      <c r="AY13" s="6">
        <v>1</v>
      </c>
      <c r="AZ13" s="6">
        <v>0</v>
      </c>
      <c r="BB13" s="2">
        <f t="shared" si="8"/>
        <v>0</v>
      </c>
      <c r="BC13" s="26">
        <f t="shared" si="9"/>
        <v>0</v>
      </c>
      <c r="BD13" s="38">
        <f t="shared" si="10"/>
        <v>0</v>
      </c>
    </row>
    <row r="14" spans="1:87" x14ac:dyDescent="0.2">
      <c r="A14" s="2" t="s">
        <v>144</v>
      </c>
      <c r="E14" s="6" t="s">
        <v>502</v>
      </c>
      <c r="F14" s="6">
        <v>0</v>
      </c>
      <c r="G14" s="6">
        <v>1</v>
      </c>
      <c r="H14" s="6">
        <v>0</v>
      </c>
      <c r="I14" s="6">
        <v>0</v>
      </c>
      <c r="J14" s="25">
        <v>6.4138830000000002</v>
      </c>
      <c r="K14" s="25">
        <v>6.4138830000000002</v>
      </c>
      <c r="L14" s="25">
        <f t="shared" si="0"/>
        <v>3.431</v>
      </c>
      <c r="N14" s="24">
        <f t="shared" si="1"/>
        <v>0</v>
      </c>
      <c r="O14" s="24">
        <v>3.431</v>
      </c>
      <c r="AA14" s="31">
        <f>IF(K14&gt;0,(K14-Z14)/(J14-Z14),(L14-Z14)/(J14-Z14))</f>
        <v>1</v>
      </c>
      <c r="AB14" s="31">
        <f>(L14-Z14)/(J14-Z14)</f>
        <v>0.53493336252002099</v>
      </c>
      <c r="AC14" s="31">
        <f t="shared" si="2"/>
        <v>0.53493336252002099</v>
      </c>
      <c r="AE14" s="25">
        <v>7</v>
      </c>
      <c r="AF14" s="25">
        <f>AA14*AE14</f>
        <v>7</v>
      </c>
      <c r="AG14" s="25">
        <v>0</v>
      </c>
      <c r="AI14" s="24">
        <f>0.987198-0.628271</f>
        <v>0.358927</v>
      </c>
      <c r="AN14" s="26">
        <f t="shared" si="3"/>
        <v>0.358927</v>
      </c>
      <c r="AO14" s="26">
        <f t="shared" si="4"/>
        <v>0</v>
      </c>
      <c r="AQ14" s="24">
        <v>2.3845000000000002E-2</v>
      </c>
      <c r="AT14" s="26">
        <v>0</v>
      </c>
      <c r="AU14" s="24">
        <f t="shared" si="12"/>
        <v>0</v>
      </c>
      <c r="AV14" s="24">
        <v>2.3845000000000002E-2</v>
      </c>
      <c r="AW14" s="25">
        <f t="shared" si="6"/>
        <v>2.3845000000000002E-2</v>
      </c>
      <c r="AX14" s="66">
        <f t="shared" si="7"/>
        <v>6.9498688429029442E-3</v>
      </c>
      <c r="AY14" s="6">
        <v>0</v>
      </c>
      <c r="AZ14" s="6">
        <v>0</v>
      </c>
      <c r="BB14" s="2">
        <v>0</v>
      </c>
      <c r="BC14" s="26">
        <f t="shared" si="9"/>
        <v>2.3845000000000002E-2</v>
      </c>
      <c r="BD14" s="38">
        <f t="shared" si="10"/>
        <v>6.9498688429029442E-3</v>
      </c>
    </row>
    <row r="15" spans="1:87" s="2" customFormat="1" x14ac:dyDescent="0.2">
      <c r="A15" s="2" t="s">
        <v>148</v>
      </c>
      <c r="D15" s="2">
        <v>1</v>
      </c>
      <c r="E15" s="2" t="s">
        <v>502</v>
      </c>
      <c r="F15" s="2">
        <v>0</v>
      </c>
      <c r="G15" s="2">
        <v>1</v>
      </c>
      <c r="H15" s="2">
        <v>0</v>
      </c>
      <c r="I15" s="2">
        <v>0</v>
      </c>
      <c r="J15" s="25"/>
      <c r="K15" s="25"/>
      <c r="L15" s="25">
        <v>16.49579</v>
      </c>
      <c r="M15" s="26">
        <v>16.49579</v>
      </c>
      <c r="N15" s="26">
        <f t="shared" si="1"/>
        <v>0</v>
      </c>
      <c r="O15" s="26">
        <v>4.4999999999999998E-2</v>
      </c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31"/>
      <c r="AB15" s="31"/>
      <c r="AC15" s="31"/>
      <c r="AD15" s="41"/>
      <c r="AE15" s="25"/>
      <c r="AF15" s="25"/>
      <c r="AG15" s="25"/>
      <c r="AH15" s="25"/>
      <c r="AI15" s="26"/>
      <c r="AJ15" s="26"/>
      <c r="AK15" s="35"/>
      <c r="AL15" s="35"/>
      <c r="AM15" s="35"/>
      <c r="AN15" s="26">
        <f t="shared" si="3"/>
        <v>0</v>
      </c>
      <c r="AO15" s="26" t="e">
        <f t="shared" si="4"/>
        <v>#DIV/0!</v>
      </c>
      <c r="AP15" s="26"/>
      <c r="AQ15" s="26"/>
      <c r="AR15" s="26"/>
      <c r="AS15" s="26"/>
      <c r="AT15" s="26">
        <f>IF(AU15&gt;0,0,MAX(0,(AN15-0.8*AQ15)*AB15))</f>
        <v>0</v>
      </c>
      <c r="AU15" s="26">
        <f t="shared" si="12"/>
        <v>0</v>
      </c>
      <c r="AV15" s="26"/>
      <c r="AW15" s="25">
        <f t="shared" si="6"/>
        <v>0</v>
      </c>
      <c r="AX15" s="66">
        <f t="shared" si="7"/>
        <v>0</v>
      </c>
      <c r="AY15" s="2">
        <v>1</v>
      </c>
      <c r="AZ15" s="2">
        <v>0</v>
      </c>
      <c r="BB15" s="2">
        <f t="shared" ref="BB15:BB23" si="13">MAX(0,(AN15-0.8*AQ15)*AB15)</f>
        <v>0</v>
      </c>
      <c r="BC15" s="26">
        <f t="shared" si="9"/>
        <v>0</v>
      </c>
      <c r="BD15" s="72">
        <f t="shared" si="10"/>
        <v>0</v>
      </c>
    </row>
    <row r="16" spans="1:87" s="45" customFormat="1" x14ac:dyDescent="0.2">
      <c r="A16" s="2" t="s">
        <v>187</v>
      </c>
      <c r="B16" s="2"/>
      <c r="C16" s="2"/>
      <c r="D16" s="2">
        <v>1</v>
      </c>
      <c r="E16" s="6" t="s">
        <v>502</v>
      </c>
      <c r="F16" s="6">
        <v>0</v>
      </c>
      <c r="G16" s="6">
        <v>1</v>
      </c>
      <c r="H16" s="6">
        <v>0</v>
      </c>
      <c r="I16" s="6">
        <v>0</v>
      </c>
      <c r="J16" s="25">
        <v>6.9858380000000002</v>
      </c>
      <c r="K16" s="25">
        <v>6.9858380000000002</v>
      </c>
      <c r="L16" s="25">
        <f t="shared" si="0"/>
        <v>5.5339999999999998</v>
      </c>
      <c r="M16" s="26"/>
      <c r="N16" s="24">
        <f t="shared" si="1"/>
        <v>0</v>
      </c>
      <c r="O16" s="24">
        <v>5.5339999999999998</v>
      </c>
      <c r="P16" s="24"/>
      <c r="Q16" s="24"/>
      <c r="R16" s="24"/>
      <c r="S16" s="26"/>
      <c r="T16" s="26"/>
      <c r="U16" s="26"/>
      <c r="V16" s="26"/>
      <c r="W16" s="26"/>
      <c r="X16" s="26"/>
      <c r="Y16" s="26"/>
      <c r="Z16" s="24"/>
      <c r="AA16" s="31">
        <f t="shared" ref="AA16:AA23" si="14">IF(K16&gt;0,(K16-Z16)/(J16-Z16),(L16-Z16)/(J16-Z16))</f>
        <v>1</v>
      </c>
      <c r="AB16" s="31">
        <f t="shared" ref="AB16:AB23" si="15">(L16-Z16)/(J16-Z16)</f>
        <v>0.79217410996361493</v>
      </c>
      <c r="AC16" s="31">
        <f t="shared" si="2"/>
        <v>0.79217410996361493</v>
      </c>
      <c r="AD16" s="41">
        <f>1+0.75+0.5+0.5+4+2+1.5</f>
        <v>10.25</v>
      </c>
      <c r="AE16" s="25">
        <f>1+0.75+0.5+0.5+4</f>
        <v>6.75</v>
      </c>
      <c r="AF16" s="25">
        <f t="shared" ref="AF16:AF23" si="16">AA16*AE16</f>
        <v>6.75</v>
      </c>
      <c r="AG16" s="25">
        <f t="shared" ref="AG16:AG23" si="17">AB16*AE16</f>
        <v>5.3471752422544006</v>
      </c>
      <c r="AH16" s="25"/>
      <c r="AI16" s="24"/>
      <c r="AJ16" s="24"/>
      <c r="AK16" s="34"/>
      <c r="AL16" s="34"/>
      <c r="AM16" s="34"/>
      <c r="AN16" s="26">
        <f t="shared" si="3"/>
        <v>0</v>
      </c>
      <c r="AO16" s="26">
        <f t="shared" si="4"/>
        <v>0</v>
      </c>
      <c r="AP16" s="24">
        <f>SUM(AI16:AJ16)+0.341581+0.574+0.276061</f>
        <v>1.1916419999999999</v>
      </c>
      <c r="AQ16" s="24">
        <v>0.58466200000000002</v>
      </c>
      <c r="AR16" s="24">
        <v>0.57399999999999995</v>
      </c>
      <c r="AS16" s="24"/>
      <c r="AT16" s="26">
        <f>IF(AU16&gt;0,0,MAX(0,(AN16-0.8*AQ16)*AB16))</f>
        <v>0</v>
      </c>
      <c r="AU16" s="24">
        <f t="shared" si="12"/>
        <v>0.94398794074526193</v>
      </c>
      <c r="AV16" s="24">
        <f>AQ16*AC16</f>
        <v>0.46315409947954705</v>
      </c>
      <c r="AW16" s="25">
        <f t="shared" si="6"/>
        <v>1.4071420402248089</v>
      </c>
      <c r="AX16" s="66">
        <f t="shared" si="7"/>
        <v>0.25427214315591057</v>
      </c>
      <c r="AY16" s="6">
        <v>0</v>
      </c>
      <c r="AZ16" s="6">
        <v>0</v>
      </c>
      <c r="BA16" s="6"/>
      <c r="BB16" s="2">
        <f t="shared" si="13"/>
        <v>0</v>
      </c>
      <c r="BC16" s="26">
        <f t="shared" si="9"/>
        <v>0.46315409947954705</v>
      </c>
      <c r="BD16" s="38">
        <f t="shared" si="10"/>
        <v>8.3692464669235106E-2</v>
      </c>
      <c r="BE16" s="2" t="s">
        <v>469</v>
      </c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x14ac:dyDescent="0.2">
      <c r="A17" s="2" t="s">
        <v>188</v>
      </c>
      <c r="D17" s="2">
        <v>1</v>
      </c>
      <c r="E17" s="6" t="s">
        <v>502</v>
      </c>
      <c r="F17" s="6">
        <v>0</v>
      </c>
      <c r="G17" s="6">
        <v>1</v>
      </c>
      <c r="H17" s="6">
        <v>0</v>
      </c>
      <c r="I17" s="6">
        <v>0</v>
      </c>
      <c r="J17" s="25">
        <v>10.715693</v>
      </c>
      <c r="K17" s="25">
        <v>10.715693</v>
      </c>
      <c r="L17" s="25">
        <f t="shared" si="0"/>
        <v>9.7669999999999995</v>
      </c>
      <c r="N17" s="24">
        <f t="shared" si="1"/>
        <v>0</v>
      </c>
      <c r="O17" s="24">
        <v>9.7669999999999995</v>
      </c>
      <c r="AA17" s="31">
        <f t="shared" si="14"/>
        <v>1</v>
      </c>
      <c r="AB17" s="31">
        <f t="shared" si="15"/>
        <v>0.91146694852120158</v>
      </c>
      <c r="AC17" s="31">
        <f t="shared" si="2"/>
        <v>0.91146694852120158</v>
      </c>
      <c r="AF17" s="25">
        <f t="shared" si="16"/>
        <v>0</v>
      </c>
      <c r="AG17" s="25">
        <f t="shared" si="17"/>
        <v>0</v>
      </c>
      <c r="AM17" s="34">
        <v>250</v>
      </c>
      <c r="AN17" s="26">
        <f t="shared" si="3"/>
        <v>0</v>
      </c>
      <c r="AO17" s="26" t="e">
        <f t="shared" si="4"/>
        <v>#DIV/0!</v>
      </c>
      <c r="AQ17" s="24">
        <v>0.63900000000000001</v>
      </c>
      <c r="AR17" s="24">
        <v>6.88E-2</v>
      </c>
      <c r="AT17" s="26">
        <f>IF(AU17&gt;0,0,MAX(0,(AN17-0.8*AQ17)*AB17))</f>
        <v>0</v>
      </c>
      <c r="AU17" s="24">
        <f t="shared" si="12"/>
        <v>0</v>
      </c>
      <c r="AV17" s="24">
        <f>AQ17*AB17</f>
        <v>0.5824273801050478</v>
      </c>
      <c r="AW17" s="25">
        <f t="shared" si="6"/>
        <v>0.5824273801050478</v>
      </c>
      <c r="AX17" s="66">
        <f t="shared" si="7"/>
        <v>5.9632167513570984E-2</v>
      </c>
      <c r="AY17" s="6">
        <v>0</v>
      </c>
      <c r="AZ17" s="6">
        <v>0</v>
      </c>
      <c r="BB17" s="2">
        <f t="shared" si="13"/>
        <v>0</v>
      </c>
      <c r="BC17" s="26">
        <f t="shared" si="9"/>
        <v>0.5824273801050478</v>
      </c>
      <c r="BD17" s="38">
        <f t="shared" si="10"/>
        <v>5.9632167513570984E-2</v>
      </c>
      <c r="BE17" s="2" t="s">
        <v>1038</v>
      </c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x14ac:dyDescent="0.2">
      <c r="A18" s="2" t="s">
        <v>32</v>
      </c>
      <c r="E18" s="6" t="s">
        <v>502</v>
      </c>
      <c r="F18" s="6">
        <v>0</v>
      </c>
      <c r="G18" s="6">
        <v>1</v>
      </c>
      <c r="H18" s="6">
        <v>0</v>
      </c>
      <c r="I18" s="6">
        <v>0</v>
      </c>
      <c r="J18" s="25">
        <v>265.36</v>
      </c>
      <c r="K18" s="25">
        <v>265.36</v>
      </c>
      <c r="L18" s="25">
        <f t="shared" si="0"/>
        <v>139.011</v>
      </c>
      <c r="M18" s="26">
        <v>123.436688</v>
      </c>
      <c r="N18" s="24">
        <f t="shared" si="1"/>
        <v>123.88200000000001</v>
      </c>
      <c r="O18" s="24">
        <v>15.129</v>
      </c>
      <c r="W18" s="26">
        <v>123.88200000000001</v>
      </c>
      <c r="X18" s="26">
        <v>11</v>
      </c>
      <c r="AA18" s="31">
        <f t="shared" si="14"/>
        <v>1</v>
      </c>
      <c r="AB18" s="31">
        <f t="shared" si="15"/>
        <v>0.52385815495930055</v>
      </c>
      <c r="AC18" s="31">
        <f t="shared" si="2"/>
        <v>0.52385815495930055</v>
      </c>
      <c r="AD18" s="41">
        <v>5781</v>
      </c>
      <c r="AE18" s="25">
        <v>20</v>
      </c>
      <c r="AF18" s="25">
        <f t="shared" si="16"/>
        <v>20</v>
      </c>
      <c r="AG18" s="25">
        <f t="shared" si="17"/>
        <v>10.477163099186011</v>
      </c>
      <c r="AH18" s="25">
        <f>8/20</f>
        <v>0.4</v>
      </c>
      <c r="AI18" s="24">
        <v>7.1509999999999998</v>
      </c>
      <c r="AJ18" s="24">
        <v>3.673</v>
      </c>
      <c r="AM18" s="34">
        <v>3723</v>
      </c>
      <c r="AN18" s="26">
        <f t="shared" si="3"/>
        <v>10.824</v>
      </c>
      <c r="AO18" s="26">
        <f t="shared" si="4"/>
        <v>5.6702406692794698</v>
      </c>
      <c r="AP18" s="26">
        <f>4.071</f>
        <v>4.0709999999999997</v>
      </c>
      <c r="AQ18" s="26"/>
      <c r="AR18" s="26">
        <v>2.5139999999999998</v>
      </c>
      <c r="AS18" s="26"/>
      <c r="AT18" s="26">
        <f>IF(AU18&gt;0,0,MAX(0,(AN18-0.8*AQ18)*AB18))</f>
        <v>0</v>
      </c>
      <c r="AU18" s="26">
        <f t="shared" si="12"/>
        <v>2.1326265488393124</v>
      </c>
      <c r="AV18" s="26">
        <v>5.774</v>
      </c>
      <c r="AW18" s="25">
        <f t="shared" si="6"/>
        <v>7.9066265488393128</v>
      </c>
      <c r="AX18" s="66">
        <f t="shared" si="7"/>
        <v>5.6877704274045315E-2</v>
      </c>
      <c r="AY18" s="6">
        <v>0</v>
      </c>
      <c r="AZ18" s="6">
        <v>0</v>
      </c>
      <c r="BB18" s="2">
        <f t="shared" si="13"/>
        <v>5.6702406692794689</v>
      </c>
      <c r="BC18" s="26">
        <f t="shared" si="9"/>
        <v>11.44424066927947</v>
      </c>
      <c r="BD18" s="38">
        <f t="shared" si="10"/>
        <v>8.2326151666267208E-2</v>
      </c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x14ac:dyDescent="0.2">
      <c r="A19" s="2" t="s">
        <v>189</v>
      </c>
      <c r="E19" s="6" t="s">
        <v>502</v>
      </c>
      <c r="F19" s="2">
        <v>0</v>
      </c>
      <c r="G19" s="2">
        <v>1</v>
      </c>
      <c r="H19" s="2">
        <v>0</v>
      </c>
      <c r="I19" s="2">
        <v>0</v>
      </c>
      <c r="J19" s="25">
        <v>3.3650000000000002</v>
      </c>
      <c r="K19" s="25">
        <v>3.3650000000000002</v>
      </c>
      <c r="L19" s="25">
        <f>SUM(N19:R19)+M19</f>
        <v>3.2389999999999999</v>
      </c>
      <c r="M19" s="26">
        <v>2.8889999999999998</v>
      </c>
      <c r="N19" s="26">
        <f t="shared" si="1"/>
        <v>0</v>
      </c>
      <c r="O19" s="26">
        <v>0.35</v>
      </c>
      <c r="P19" s="26"/>
      <c r="Q19" s="26"/>
      <c r="R19" s="26"/>
      <c r="Z19" s="26"/>
      <c r="AA19" s="31">
        <f t="shared" si="14"/>
        <v>1</v>
      </c>
      <c r="AB19" s="31">
        <f t="shared" si="15"/>
        <v>0.96255572065378892</v>
      </c>
      <c r="AC19" s="31">
        <f t="shared" si="2"/>
        <v>0.96255572065378892</v>
      </c>
      <c r="AD19" s="41">
        <v>1.8</v>
      </c>
      <c r="AE19" s="25">
        <v>1.8</v>
      </c>
      <c r="AF19" s="25">
        <f t="shared" si="16"/>
        <v>1.8</v>
      </c>
      <c r="AG19" s="25">
        <f t="shared" si="17"/>
        <v>1.7326002971768202</v>
      </c>
      <c r="AH19" s="25">
        <v>0</v>
      </c>
      <c r="AI19" s="26">
        <v>0.81054700000000002</v>
      </c>
      <c r="AJ19" s="26"/>
      <c r="AK19" s="35"/>
      <c r="AL19" s="35"/>
      <c r="AM19" s="35">
        <v>140</v>
      </c>
      <c r="AN19" s="26">
        <f t="shared" si="3"/>
        <v>0.81054700000000002</v>
      </c>
      <c r="AO19" s="26">
        <f t="shared" si="4"/>
        <v>0.78019665170876673</v>
      </c>
      <c r="AP19" s="26"/>
      <c r="AQ19" s="26">
        <f>0.073241+0.022375+0.035987</f>
        <v>0.131603</v>
      </c>
      <c r="AR19" s="26"/>
      <c r="AS19" s="26"/>
      <c r="AT19" s="26">
        <f>IF(AU19&gt;0,0,MAX(0,(AN19-0*AQ19)*AB19))</f>
        <v>0.78019665170876662</v>
      </c>
      <c r="AU19" s="26">
        <f t="shared" si="12"/>
        <v>0</v>
      </c>
      <c r="AV19" s="24">
        <f>AQ19*AB19</f>
        <v>0.12667522050520058</v>
      </c>
      <c r="AW19" s="25">
        <f t="shared" si="6"/>
        <v>0.90687187221396726</v>
      </c>
      <c r="AX19" s="66">
        <f t="shared" si="7"/>
        <v>0.27998514115898959</v>
      </c>
      <c r="AY19" s="2">
        <v>1</v>
      </c>
      <c r="AZ19" s="2">
        <v>1</v>
      </c>
      <c r="BA19" s="2"/>
      <c r="BB19" s="2">
        <f t="shared" si="13"/>
        <v>0.67885647530460624</v>
      </c>
      <c r="BC19" s="26">
        <f t="shared" si="9"/>
        <v>0.80553169580980688</v>
      </c>
      <c r="BD19" s="38">
        <f t="shared" si="10"/>
        <v>0.24869765230312038</v>
      </c>
      <c r="BE19" s="2"/>
    </row>
    <row r="20" spans="1:87" x14ac:dyDescent="0.2">
      <c r="A20" s="2" t="s">
        <v>190</v>
      </c>
      <c r="E20" s="6" t="s">
        <v>502</v>
      </c>
      <c r="F20" s="6">
        <v>0</v>
      </c>
      <c r="G20" s="6">
        <v>1</v>
      </c>
      <c r="H20" s="6">
        <v>0</v>
      </c>
      <c r="I20" s="6">
        <v>0</v>
      </c>
      <c r="J20" s="25">
        <v>25.810214999999999</v>
      </c>
      <c r="K20" s="25">
        <f>L20</f>
        <v>18.517161999999999</v>
      </c>
      <c r="L20" s="25">
        <f>SUM(N20:R20)</f>
        <v>18.517161999999999</v>
      </c>
      <c r="M20" s="26">
        <v>14.863</v>
      </c>
      <c r="N20" s="24">
        <f t="shared" si="1"/>
        <v>14.411161999999999</v>
      </c>
      <c r="O20" s="24">
        <v>4.1059999999999999</v>
      </c>
      <c r="W20" s="26">
        <f>18.517162-O20</f>
        <v>14.411161999999999</v>
      </c>
      <c r="AA20" s="31">
        <f t="shared" si="14"/>
        <v>0.71743540299838648</v>
      </c>
      <c r="AB20" s="31">
        <f t="shared" si="15"/>
        <v>0.71743540299838648</v>
      </c>
      <c r="AC20" s="31">
        <f t="shared" si="2"/>
        <v>1</v>
      </c>
      <c r="AD20" s="41">
        <f>21+15</f>
        <v>36</v>
      </c>
      <c r="AE20" s="25">
        <f>21+15</f>
        <v>36</v>
      </c>
      <c r="AF20" s="25">
        <f t="shared" si="16"/>
        <v>25.827674507941914</v>
      </c>
      <c r="AG20" s="25">
        <f t="shared" si="17"/>
        <v>25.827674507941914</v>
      </c>
      <c r="AH20" s="25">
        <f>(5+8)/(21+15)</f>
        <v>0.3611111111111111</v>
      </c>
      <c r="AI20" s="24">
        <v>7.3636270000000001</v>
      </c>
      <c r="AJ20" s="24">
        <v>2.282724</v>
      </c>
      <c r="AM20" s="34">
        <v>5526</v>
      </c>
      <c r="AN20" s="26">
        <f t="shared" si="3"/>
        <v>9.6463509999999992</v>
      </c>
      <c r="AO20" s="26">
        <f t="shared" si="4"/>
        <v>6.9206337171488883</v>
      </c>
      <c r="AQ20" s="24">
        <f>1.454398+2.682638+1.285258</f>
        <v>5.4222939999999999</v>
      </c>
      <c r="AT20" s="26">
        <f>IF(AU20&gt;0,0,MAX(0,(AN20-0.8*AQ20)*AB20))</f>
        <v>3.8085171722963018</v>
      </c>
      <c r="AU20" s="24">
        <f t="shared" si="12"/>
        <v>0</v>
      </c>
      <c r="AV20" s="24">
        <f>AQ20*AB20</f>
        <v>3.8901456810657331</v>
      </c>
      <c r="AW20" s="25">
        <f t="shared" si="6"/>
        <v>7.6986628533620349</v>
      </c>
      <c r="AX20" s="66">
        <f t="shared" si="7"/>
        <v>0.41575824920482068</v>
      </c>
      <c r="AY20" s="6">
        <v>0</v>
      </c>
      <c r="AZ20" s="6">
        <v>0</v>
      </c>
      <c r="BB20" s="2">
        <f t="shared" si="13"/>
        <v>3.8085171722963018</v>
      </c>
      <c r="BC20" s="26">
        <f t="shared" si="9"/>
        <v>7.6986628533620349</v>
      </c>
      <c r="BD20" s="38">
        <f t="shared" si="10"/>
        <v>0.41575824920482068</v>
      </c>
    </row>
    <row r="21" spans="1:87" x14ac:dyDescent="0.2">
      <c r="A21" s="2" t="s">
        <v>191</v>
      </c>
      <c r="E21" s="6" t="s">
        <v>502</v>
      </c>
      <c r="F21" s="6">
        <v>0</v>
      </c>
      <c r="G21" s="6">
        <v>1</v>
      </c>
      <c r="H21" s="6">
        <v>0</v>
      </c>
      <c r="I21" s="6">
        <v>0</v>
      </c>
      <c r="J21" s="25">
        <v>10.375069999999999</v>
      </c>
      <c r="K21" s="25">
        <f t="shared" ref="K21:K22" si="18">L21</f>
        <v>5.2565660000000003</v>
      </c>
      <c r="L21" s="25">
        <f>SUM(N21:R21)</f>
        <v>5.2565660000000003</v>
      </c>
      <c r="M21" s="26">
        <v>4.7696000000000002E-2</v>
      </c>
      <c r="N21" s="24">
        <f t="shared" si="1"/>
        <v>2.3132280000000001</v>
      </c>
      <c r="O21" s="24">
        <f>1.233</f>
        <v>1.2330000000000001</v>
      </c>
      <c r="Q21" s="24">
        <f>0.86+0.850338</f>
        <v>1.7103380000000001</v>
      </c>
      <c r="W21" s="26">
        <v>2.3132280000000001</v>
      </c>
      <c r="AA21" s="31">
        <f t="shared" si="14"/>
        <v>0.5066535454700547</v>
      </c>
      <c r="AB21" s="31">
        <f t="shared" si="15"/>
        <v>0.5066535454700547</v>
      </c>
      <c r="AC21" s="31">
        <f t="shared" si="2"/>
        <v>1</v>
      </c>
      <c r="AD21" s="41">
        <v>8</v>
      </c>
      <c r="AE21" s="25">
        <v>8</v>
      </c>
      <c r="AF21" s="25">
        <f t="shared" si="16"/>
        <v>4.0532283637604376</v>
      </c>
      <c r="AG21" s="25">
        <f t="shared" si="17"/>
        <v>4.0532283637604376</v>
      </c>
      <c r="AH21" s="25">
        <f>3/8</f>
        <v>0.375</v>
      </c>
      <c r="AI21" s="24">
        <v>3.755331</v>
      </c>
      <c r="AJ21" s="24">
        <v>1.326881</v>
      </c>
      <c r="AM21" s="34">
        <v>8283</v>
      </c>
      <c r="AN21" s="26">
        <f t="shared" si="3"/>
        <v>5.0822120000000002</v>
      </c>
      <c r="AO21" s="26">
        <f t="shared" si="4"/>
        <v>2.5749207286304578</v>
      </c>
      <c r="AT21" s="26">
        <f>IF(AU21&gt;0,0,MAX(0,(AN21-0.8*AQ21)*AB21))</f>
        <v>2.5749207286304578</v>
      </c>
      <c r="AU21" s="24">
        <f t="shared" si="12"/>
        <v>0</v>
      </c>
      <c r="AV21" s="24">
        <f>AQ21*AB21</f>
        <v>0</v>
      </c>
      <c r="AW21" s="25">
        <f t="shared" si="6"/>
        <v>2.5749207286304578</v>
      </c>
      <c r="AX21" s="66">
        <f t="shared" si="7"/>
        <v>0.48984845403452704</v>
      </c>
      <c r="AY21" s="6">
        <v>0</v>
      </c>
      <c r="AZ21" s="6">
        <v>0</v>
      </c>
      <c r="BB21" s="2">
        <f t="shared" si="13"/>
        <v>2.5749207286304578</v>
      </c>
      <c r="BC21" s="26">
        <f t="shared" si="9"/>
        <v>2.5749207286304578</v>
      </c>
      <c r="BD21" s="38">
        <f t="shared" si="10"/>
        <v>0.48984845403452704</v>
      </c>
    </row>
    <row r="22" spans="1:87" x14ac:dyDescent="0.2">
      <c r="A22" s="2" t="s">
        <v>198</v>
      </c>
      <c r="E22" s="6" t="s">
        <v>502</v>
      </c>
      <c r="F22" s="6">
        <v>0</v>
      </c>
      <c r="G22" s="6">
        <v>1</v>
      </c>
      <c r="H22" s="6">
        <v>0</v>
      </c>
      <c r="I22" s="6">
        <v>0</v>
      </c>
      <c r="J22" s="25">
        <v>1.4891000000000001</v>
      </c>
      <c r="K22" s="25">
        <f t="shared" si="18"/>
        <v>1.345</v>
      </c>
      <c r="L22" s="25">
        <f>SUM(N22:R22)</f>
        <v>1.345</v>
      </c>
      <c r="N22" s="24">
        <f t="shared" si="1"/>
        <v>0</v>
      </c>
      <c r="O22" s="24">
        <v>1.345</v>
      </c>
      <c r="AA22" s="31">
        <f t="shared" si="14"/>
        <v>0.90323013901014026</v>
      </c>
      <c r="AB22" s="31">
        <f t="shared" si="15"/>
        <v>0.90323013901014026</v>
      </c>
      <c r="AC22" s="31">
        <f t="shared" si="2"/>
        <v>1</v>
      </c>
      <c r="AD22" s="41">
        <v>0</v>
      </c>
      <c r="AE22" s="25">
        <v>0</v>
      </c>
      <c r="AF22" s="25">
        <f t="shared" si="16"/>
        <v>0</v>
      </c>
      <c r="AG22" s="25">
        <f t="shared" si="17"/>
        <v>0</v>
      </c>
      <c r="AI22" s="24">
        <v>0</v>
      </c>
      <c r="AJ22" s="24">
        <v>0</v>
      </c>
      <c r="AM22" s="34">
        <v>196</v>
      </c>
      <c r="AN22" s="26">
        <f t="shared" si="3"/>
        <v>0</v>
      </c>
      <c r="AO22" s="26" t="e">
        <f t="shared" si="4"/>
        <v>#DIV/0!</v>
      </c>
      <c r="AP22" s="24">
        <v>1.1985000000000001E-2</v>
      </c>
      <c r="AQ22" s="24">
        <v>3.0327E-2</v>
      </c>
      <c r="AT22" s="26">
        <f>IF(AU22&gt;0,0,MAX(0,(AN22-0.8*AQ22)*AB22))</f>
        <v>0</v>
      </c>
      <c r="AU22" s="24">
        <f t="shared" si="12"/>
        <v>1.0825213216036533E-2</v>
      </c>
      <c r="AV22" s="24">
        <f>AQ22*AB22</f>
        <v>2.7392260425760522E-2</v>
      </c>
      <c r="AW22" s="25">
        <f t="shared" si="6"/>
        <v>3.8217473641797055E-2</v>
      </c>
      <c r="AX22" s="66">
        <f t="shared" si="7"/>
        <v>2.8414478544087029E-2</v>
      </c>
      <c r="AY22" s="6">
        <v>0</v>
      </c>
      <c r="AZ22" s="6">
        <v>0</v>
      </c>
      <c r="BB22" s="2">
        <f t="shared" si="13"/>
        <v>0</v>
      </c>
      <c r="BC22" s="26">
        <f t="shared" si="9"/>
        <v>2.7392260425760522E-2</v>
      </c>
      <c r="BD22" s="38">
        <f t="shared" si="10"/>
        <v>2.0365992881606336E-2</v>
      </c>
      <c r="BE22" s="46" t="s">
        <v>470</v>
      </c>
    </row>
    <row r="23" spans="1:87" x14ac:dyDescent="0.2">
      <c r="A23" s="18" t="s">
        <v>254</v>
      </c>
      <c r="B23" s="18"/>
      <c r="C23" s="18"/>
      <c r="D23" s="18"/>
      <c r="E23" s="2" t="s">
        <v>502</v>
      </c>
      <c r="F23" s="2">
        <v>0</v>
      </c>
      <c r="G23" s="2">
        <v>1</v>
      </c>
      <c r="H23" s="2">
        <v>0</v>
      </c>
      <c r="I23" s="2">
        <v>0</v>
      </c>
      <c r="J23" s="25">
        <v>656.20600000000002</v>
      </c>
      <c r="K23" s="25">
        <v>656.20600000000002</v>
      </c>
      <c r="L23" s="25">
        <f>SUM(N23:R23)</f>
        <v>3.5</v>
      </c>
      <c r="M23" s="26">
        <v>3.5</v>
      </c>
      <c r="N23" s="26">
        <v>3.5</v>
      </c>
      <c r="O23" s="26"/>
      <c r="P23" s="26"/>
      <c r="Q23" s="26"/>
      <c r="R23" s="26"/>
      <c r="Z23" s="26"/>
      <c r="AA23" s="31">
        <f t="shared" si="14"/>
        <v>1</v>
      </c>
      <c r="AB23" s="31">
        <f t="shared" si="15"/>
        <v>5.3336909446119055E-3</v>
      </c>
      <c r="AC23" s="31">
        <f t="shared" si="2"/>
        <v>5.3336909446119055E-3</v>
      </c>
      <c r="AD23" s="41">
        <v>38</v>
      </c>
      <c r="AE23" s="25">
        <v>38</v>
      </c>
      <c r="AF23" s="25">
        <f t="shared" si="16"/>
        <v>38</v>
      </c>
      <c r="AG23" s="25">
        <f t="shared" si="17"/>
        <v>0.2026802558952524</v>
      </c>
      <c r="AH23" s="25">
        <f>7/38</f>
        <v>0.18421052631578946</v>
      </c>
      <c r="AI23" s="26">
        <v>23.143000000000001</v>
      </c>
      <c r="AJ23" s="26">
        <f>9.564+2.367</f>
        <v>11.931000000000001</v>
      </c>
      <c r="AK23" s="35"/>
      <c r="AL23" s="35"/>
      <c r="AM23" s="35"/>
      <c r="AN23" s="26">
        <f t="shared" si="3"/>
        <v>35.073999999999998</v>
      </c>
      <c r="AO23" s="26">
        <f t="shared" si="4"/>
        <v>0.18707387619131796</v>
      </c>
      <c r="AP23" s="26">
        <v>20.021000000000001</v>
      </c>
      <c r="AQ23" s="26">
        <v>6.9749999999999996</v>
      </c>
      <c r="AR23" s="26"/>
      <c r="AS23" s="26"/>
      <c r="AT23" s="26">
        <f>IF(AU23&gt;0,0,MAX(0,(AN23-0.8*AQ23)*AB23))</f>
        <v>0</v>
      </c>
      <c r="AU23" s="26">
        <f t="shared" si="12"/>
        <v>0.10678582640207497</v>
      </c>
      <c r="AV23" s="26">
        <f>AQ23*AB23</f>
        <v>3.7202494338668041E-2</v>
      </c>
      <c r="AW23" s="25">
        <f t="shared" si="6"/>
        <v>0.14398832074074303</v>
      </c>
      <c r="AX23" s="66">
        <f t="shared" si="7"/>
        <v>4.1139520211640863E-2</v>
      </c>
      <c r="AY23" s="2">
        <v>0</v>
      </c>
      <c r="AZ23" s="2">
        <v>0</v>
      </c>
      <c r="BA23" s="2"/>
      <c r="BB23" s="2">
        <f t="shared" si="13"/>
        <v>0.15731188072038355</v>
      </c>
      <c r="BC23" s="26">
        <f t="shared" si="9"/>
        <v>0.19451437505905159</v>
      </c>
      <c r="BD23" s="38">
        <f t="shared" si="10"/>
        <v>5.5575535731157595E-2</v>
      </c>
      <c r="BE23" s="2"/>
    </row>
    <row r="24" spans="1:87" s="10" customFormat="1" ht="15" x14ac:dyDescent="0.25">
      <c r="A24" s="44" t="s">
        <v>672</v>
      </c>
      <c r="B24" s="44">
        <f>SUM(B2:B23)</f>
        <v>0</v>
      </c>
      <c r="C24" s="44">
        <f>SUM(C2:C23)</f>
        <v>0</v>
      </c>
      <c r="D24" s="44">
        <f>SUM(D2:D23)</f>
        <v>7</v>
      </c>
      <c r="E24" s="44">
        <f>COUNTA(E2:E23)</f>
        <v>22</v>
      </c>
      <c r="F24" s="10">
        <f t="shared" ref="F24:O24" si="19">SUM(F2:F23)</f>
        <v>0</v>
      </c>
      <c r="G24" s="10">
        <f t="shared" si="19"/>
        <v>22</v>
      </c>
      <c r="H24" s="10">
        <f t="shared" si="19"/>
        <v>0</v>
      </c>
      <c r="I24" s="10">
        <f t="shared" si="19"/>
        <v>0</v>
      </c>
      <c r="J24" s="80">
        <f t="shared" si="19"/>
        <v>1171.8580650000001</v>
      </c>
      <c r="K24" s="80">
        <f t="shared" si="19"/>
        <v>1057.7799660000001</v>
      </c>
      <c r="L24" s="80">
        <f t="shared" si="19"/>
        <v>276.91284200000007</v>
      </c>
      <c r="M24" s="44">
        <f t="shared" si="19"/>
        <v>161.41217400000002</v>
      </c>
      <c r="N24" s="10">
        <f t="shared" si="19"/>
        <v>144.10639</v>
      </c>
      <c r="O24" s="10">
        <f t="shared" si="19"/>
        <v>111.75632400000001</v>
      </c>
      <c r="P24" s="10">
        <f t="shared" ref="P24:Y24" si="20">SUM(P2:P23)</f>
        <v>0</v>
      </c>
      <c r="Q24" s="10">
        <f t="shared" si="20"/>
        <v>1.7103380000000001</v>
      </c>
      <c r="R24" s="10">
        <f t="shared" si="20"/>
        <v>0</v>
      </c>
      <c r="S24" s="10">
        <f t="shared" si="20"/>
        <v>0</v>
      </c>
      <c r="T24" s="10">
        <f t="shared" si="20"/>
        <v>0</v>
      </c>
      <c r="U24" s="10">
        <f t="shared" si="20"/>
        <v>0</v>
      </c>
      <c r="V24" s="10">
        <f t="shared" si="20"/>
        <v>0</v>
      </c>
      <c r="W24" s="10">
        <f t="shared" si="20"/>
        <v>140.60639</v>
      </c>
      <c r="X24" s="44">
        <f t="shared" si="20"/>
        <v>11</v>
      </c>
      <c r="Y24" s="44">
        <f t="shared" si="20"/>
        <v>0</v>
      </c>
      <c r="Z24" s="27"/>
      <c r="AA24" s="27"/>
      <c r="AB24" s="32"/>
      <c r="AC24" s="37"/>
      <c r="AD24" s="104">
        <f>SUM(AD2:AD23)</f>
        <v>6093.93</v>
      </c>
      <c r="AE24" s="104">
        <f>SUM(AE2:AE23)</f>
        <v>292.43</v>
      </c>
      <c r="AF24" s="104">
        <f>SUM(AF2:AF23)</f>
        <v>135.79217052715848</v>
      </c>
      <c r="AG24" s="104">
        <f>SUM(AG2:AG23)</f>
        <v>74.709756684897826</v>
      </c>
      <c r="AH24" s="52">
        <f>AVERAGE(AH2:AH23)</f>
        <v>0.32022183191333919</v>
      </c>
      <c r="AI24" s="27"/>
      <c r="AJ24" s="27"/>
      <c r="AK24" s="36">
        <f>SUM(AK2:AK23)</f>
        <v>70</v>
      </c>
      <c r="AL24" s="36">
        <f>SUM(AL2:AL23)</f>
        <v>0</v>
      </c>
      <c r="AM24" s="36">
        <f>SUM(AM2:AM23)</f>
        <v>19747</v>
      </c>
      <c r="AN24" s="27"/>
      <c r="AO24" s="27"/>
      <c r="AP24" s="27"/>
      <c r="AQ24" s="27"/>
      <c r="AR24" s="27"/>
      <c r="AS24" s="27"/>
      <c r="AT24" s="27"/>
      <c r="AU24" s="27"/>
      <c r="AV24" s="27"/>
      <c r="AW24" s="52">
        <f>SUM(AW2:AW23)</f>
        <v>37.378722631811904</v>
      </c>
      <c r="AX24" s="102">
        <f t="shared" si="7"/>
        <v>0.13498370953778985</v>
      </c>
      <c r="BC24" s="27">
        <f>SUM(BC2:BC23)</f>
        <v>38.568958074225009</v>
      </c>
      <c r="BD24" s="54">
        <f t="shared" si="10"/>
        <v>0.13928194082896667</v>
      </c>
    </row>
  </sheetData>
  <hyperlinks>
    <hyperlink ref="BE22" r:id="rId1"/>
  </hyperlinks>
  <pageMargins left="0.7" right="0.7" top="0.75" bottom="0.75" header="0.3" footer="0.3"/>
  <pageSetup paperSize="9" orientation="portrait" horizontalDpi="4294967292" verticalDpi="4294967292" r:id="rId2"/>
  <headerFooter alignWithMargins="0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8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75" defaultRowHeight="14.25" x14ac:dyDescent="0.2"/>
  <cols>
    <col min="1" max="1" width="35.5" style="2" customWidth="1"/>
    <col min="2" max="4" width="6.5" style="2" customWidth="1"/>
    <col min="5" max="5" width="6.25" style="6" bestFit="1" customWidth="1"/>
    <col min="6" max="9" width="6.25" style="6" customWidth="1"/>
    <col min="10" max="10" width="9.875" style="25" customWidth="1"/>
    <col min="11" max="11" width="9.125" style="25" customWidth="1"/>
    <col min="12" max="12" width="8.125" style="25" customWidth="1"/>
    <col min="13" max="13" width="9.375" style="26" customWidth="1"/>
    <col min="14" max="14" width="8.75" style="24" customWidth="1"/>
    <col min="15" max="16" width="10.75" style="24" customWidth="1"/>
    <col min="17" max="17" width="8.375" style="24" bestFit="1" customWidth="1"/>
    <col min="18" max="18" width="8.375" style="24" customWidth="1"/>
    <col min="19" max="19" width="11" style="26" customWidth="1"/>
    <col min="20" max="20" width="10.75" style="26" customWidth="1"/>
    <col min="21" max="21" width="10.375" style="26" bestFit="1" customWidth="1"/>
    <col min="22" max="22" width="7.375" style="26" customWidth="1"/>
    <col min="23" max="23" width="9.375" style="26" customWidth="1"/>
    <col min="24" max="24" width="11" style="26" customWidth="1"/>
    <col min="25" max="25" width="11.625" style="26" customWidth="1"/>
    <col min="26" max="27" width="11.625" style="24" customWidth="1"/>
    <col min="28" max="28" width="7.75" style="30" customWidth="1"/>
    <col min="29" max="29" width="7.25" style="31" customWidth="1"/>
    <col min="30" max="30" width="10" style="41" customWidth="1"/>
    <col min="31" max="31" width="8.75" style="25" bestFit="1" customWidth="1"/>
    <col min="32" max="32" width="9.125" style="25" customWidth="1"/>
    <col min="33" max="33" width="11.125" style="25" customWidth="1"/>
    <col min="34" max="34" width="6.625" style="25" customWidth="1"/>
    <col min="35" max="36" width="10.375" style="24" bestFit="1" customWidth="1"/>
    <col min="37" max="38" width="10.125" style="34" customWidth="1"/>
    <col min="39" max="39" width="11.75" style="34" bestFit="1" customWidth="1"/>
    <col min="40" max="41" width="11.625" style="24" customWidth="1"/>
    <col min="42" max="42" width="11.875" style="24" customWidth="1"/>
    <col min="43" max="43" width="7.375" style="24" customWidth="1"/>
    <col min="44" max="44" width="12.125" style="24" customWidth="1"/>
    <col min="45" max="46" width="12.125" style="24" bestFit="1" customWidth="1"/>
    <col min="47" max="47" width="12.125" style="25" bestFit="1" customWidth="1"/>
    <col min="48" max="48" width="11.625" style="5" bestFit="1" customWidth="1"/>
    <col min="49" max="16384" width="8.75" style="6"/>
  </cols>
  <sheetData>
    <row r="1" spans="1:55" s="1" customFormat="1" ht="128.25" x14ac:dyDescent="0.2">
      <c r="A1" s="3" t="s">
        <v>947</v>
      </c>
      <c r="B1" s="3" t="s">
        <v>457</v>
      </c>
      <c r="C1" s="3" t="s">
        <v>459</v>
      </c>
      <c r="D1" s="3" t="s">
        <v>458</v>
      </c>
      <c r="E1" s="1" t="s">
        <v>1</v>
      </c>
      <c r="F1" s="1" t="s">
        <v>212</v>
      </c>
      <c r="G1" s="1" t="s">
        <v>213</v>
      </c>
      <c r="H1" s="1" t="s">
        <v>214</v>
      </c>
      <c r="I1" s="1" t="s">
        <v>401</v>
      </c>
      <c r="J1" s="22" t="s">
        <v>2</v>
      </c>
      <c r="K1" s="22" t="s">
        <v>4</v>
      </c>
      <c r="L1" s="22" t="s">
        <v>8</v>
      </c>
      <c r="M1" s="23" t="s">
        <v>471</v>
      </c>
      <c r="N1" s="21" t="s">
        <v>44</v>
      </c>
      <c r="O1" s="21" t="s">
        <v>451</v>
      </c>
      <c r="P1" s="21" t="s">
        <v>450</v>
      </c>
      <c r="Q1" s="21" t="s">
        <v>43</v>
      </c>
      <c r="R1" s="21" t="s">
        <v>452</v>
      </c>
      <c r="S1" s="23" t="s">
        <v>9</v>
      </c>
      <c r="T1" s="23" t="s">
        <v>10</v>
      </c>
      <c r="U1" s="23" t="s">
        <v>12</v>
      </c>
      <c r="V1" s="23" t="s">
        <v>13</v>
      </c>
      <c r="W1" s="23" t="s">
        <v>45</v>
      </c>
      <c r="X1" s="23" t="s">
        <v>42</v>
      </c>
      <c r="Y1" s="23" t="s">
        <v>41</v>
      </c>
      <c r="Z1" s="21" t="s">
        <v>62</v>
      </c>
      <c r="AA1" s="21" t="s">
        <v>453</v>
      </c>
      <c r="AB1" s="28" t="s">
        <v>454</v>
      </c>
      <c r="AC1" s="29" t="s">
        <v>445</v>
      </c>
      <c r="AD1" s="103" t="s">
        <v>15</v>
      </c>
      <c r="AE1" s="22" t="s">
        <v>16</v>
      </c>
      <c r="AF1" s="22" t="s">
        <v>446</v>
      </c>
      <c r="AG1" s="22" t="s">
        <v>21</v>
      </c>
      <c r="AH1" s="22" t="s">
        <v>19</v>
      </c>
      <c r="AI1" s="21" t="s">
        <v>14</v>
      </c>
      <c r="AJ1" s="21" t="s">
        <v>444</v>
      </c>
      <c r="AK1" s="33" t="s">
        <v>441</v>
      </c>
      <c r="AL1" s="33" t="s">
        <v>442</v>
      </c>
      <c r="AM1" s="33" t="s">
        <v>3</v>
      </c>
      <c r="AN1" s="21" t="s">
        <v>443</v>
      </c>
      <c r="AO1" s="21" t="s">
        <v>463</v>
      </c>
      <c r="AP1" s="23" t="s">
        <v>34</v>
      </c>
      <c r="AQ1" s="23" t="s">
        <v>33</v>
      </c>
      <c r="AR1" s="23" t="s">
        <v>464</v>
      </c>
      <c r="AS1" s="23" t="s">
        <v>22</v>
      </c>
      <c r="AT1" s="23" t="s">
        <v>23</v>
      </c>
      <c r="AU1" s="22" t="s">
        <v>17</v>
      </c>
      <c r="AV1" s="61" t="s">
        <v>11</v>
      </c>
      <c r="AW1" s="1" t="s">
        <v>411</v>
      </c>
      <c r="AX1" s="1" t="s">
        <v>412</v>
      </c>
      <c r="AZ1" s="1" t="s">
        <v>465</v>
      </c>
      <c r="BA1" s="1" t="s">
        <v>447</v>
      </c>
      <c r="BC1" s="1" t="s">
        <v>448</v>
      </c>
    </row>
    <row r="2" spans="1:55" s="2" customFormat="1" x14ac:dyDescent="0.2">
      <c r="A2" s="2" t="s">
        <v>158</v>
      </c>
      <c r="E2" s="2" t="s">
        <v>502</v>
      </c>
      <c r="F2" s="2">
        <v>0</v>
      </c>
      <c r="G2" s="2">
        <v>0</v>
      </c>
      <c r="H2" s="2">
        <v>0</v>
      </c>
      <c r="I2" s="2">
        <v>1</v>
      </c>
      <c r="J2" s="25">
        <v>6.2471880000000004</v>
      </c>
      <c r="K2" s="25">
        <v>6.2471880000000004</v>
      </c>
      <c r="L2" s="25">
        <f>SUM(N2:R2)</f>
        <v>5.4559789999999992</v>
      </c>
      <c r="M2" s="26">
        <v>0.3</v>
      </c>
      <c r="N2" s="26">
        <f t="shared" ref="N2:N7" si="0">SUM(S2:W2)</f>
        <v>5.4559789999999992</v>
      </c>
      <c r="O2" s="26"/>
      <c r="P2" s="26"/>
      <c r="Q2" s="26"/>
      <c r="R2" s="26"/>
      <c r="S2" s="26"/>
      <c r="T2" s="26">
        <v>0.3</v>
      </c>
      <c r="U2" s="26"/>
      <c r="V2" s="26">
        <v>4.8829789999999997</v>
      </c>
      <c r="W2" s="26">
        <v>0.27300000000000002</v>
      </c>
      <c r="X2" s="26"/>
      <c r="Y2" s="26">
        <v>0.3</v>
      </c>
      <c r="Z2" s="26"/>
      <c r="AA2" s="31">
        <f t="shared" ref="AA2:AA7" si="1">IF(K2&gt;0,(K2-Z2)/(J2-Z2),(L2-Z2)/(J2-Z2))</f>
        <v>1</v>
      </c>
      <c r="AB2" s="31">
        <f t="shared" ref="AB2:AB7" si="2">(L2-Z2)/(J2-Z2)</f>
        <v>0.87334957744188246</v>
      </c>
      <c r="AC2" s="31">
        <f t="shared" ref="AC2:AC7" si="3">AB2/AA2</f>
        <v>0.87334957744188246</v>
      </c>
      <c r="AD2" s="41">
        <v>3</v>
      </c>
      <c r="AE2" s="25">
        <v>3</v>
      </c>
      <c r="AF2" s="25">
        <f>AA2*AE2</f>
        <v>3</v>
      </c>
      <c r="AG2" s="25">
        <f>AB2*AE2</f>
        <v>2.6200487323256474</v>
      </c>
      <c r="AH2" s="25">
        <f>2/3</f>
        <v>0.66666666666666663</v>
      </c>
      <c r="AI2" s="26">
        <v>1.7629999999999999</v>
      </c>
      <c r="AJ2" s="26"/>
      <c r="AK2" s="35"/>
      <c r="AL2" s="35"/>
      <c r="AM2" s="35"/>
      <c r="AN2" s="26">
        <f>SUM(AI2:AJ2)</f>
        <v>1.7629999999999999</v>
      </c>
      <c r="AO2" s="26">
        <f>AN2*AG2/AE2</f>
        <v>1.5397153050300387</v>
      </c>
      <c r="AP2" s="26"/>
      <c r="AQ2" s="26"/>
      <c r="AR2" s="26">
        <f>IF(AS2&gt;0,0,MAX(0,(AN2-0.8*AQ2)*AB2))</f>
        <v>1.5397153050300387</v>
      </c>
      <c r="AS2" s="26">
        <f>AP2*AB2</f>
        <v>0</v>
      </c>
      <c r="AT2" s="26"/>
      <c r="AU2" s="25">
        <f>SUM(AR2:AT2)</f>
        <v>1.5397153050300387</v>
      </c>
      <c r="AV2" s="66">
        <f>AU2/L2</f>
        <v>0.28220697056019439</v>
      </c>
      <c r="AW2" s="2">
        <v>1</v>
      </c>
      <c r="AX2" s="2">
        <v>1</v>
      </c>
      <c r="AZ2" s="2">
        <f>MAX(0,(AN2-0.8*AQ2)*AB2)</f>
        <v>1.5397153050300387</v>
      </c>
      <c r="BA2" s="26">
        <f>AZ2+AT2</f>
        <v>1.5397153050300387</v>
      </c>
      <c r="BB2" s="38">
        <f>BA2/L2</f>
        <v>0.28220697056019439</v>
      </c>
    </row>
    <row r="3" spans="1:55" s="2" customFormat="1" x14ac:dyDescent="0.2">
      <c r="A3" s="2" t="s">
        <v>159</v>
      </c>
      <c r="D3" s="2">
        <v>1</v>
      </c>
      <c r="E3" s="2" t="s">
        <v>502</v>
      </c>
      <c r="F3" s="2">
        <v>0</v>
      </c>
      <c r="G3" s="2">
        <v>0</v>
      </c>
      <c r="H3" s="2">
        <v>0</v>
      </c>
      <c r="I3" s="2">
        <v>1</v>
      </c>
      <c r="J3" s="25"/>
      <c r="K3" s="25">
        <f>L3</f>
        <v>21.619</v>
      </c>
      <c r="L3" s="25">
        <f>M3</f>
        <v>21.619</v>
      </c>
      <c r="M3" s="26">
        <v>21.619</v>
      </c>
      <c r="N3" s="26">
        <f t="shared" si="0"/>
        <v>0</v>
      </c>
      <c r="O3" s="26"/>
      <c r="P3" s="26"/>
      <c r="Q3" s="26"/>
      <c r="R3" s="26"/>
      <c r="S3" s="26"/>
      <c r="T3" s="26"/>
      <c r="U3" s="26"/>
      <c r="V3" s="26"/>
      <c r="W3" s="26"/>
      <c r="X3" s="26"/>
      <c r="Y3" s="26">
        <v>0.3</v>
      </c>
      <c r="Z3" s="26"/>
      <c r="AA3" s="31" t="e">
        <f t="shared" si="1"/>
        <v>#DIV/0!</v>
      </c>
      <c r="AB3" s="31" t="e">
        <f t="shared" si="2"/>
        <v>#DIV/0!</v>
      </c>
      <c r="AC3" s="31"/>
      <c r="AD3" s="41"/>
      <c r="AE3" s="25"/>
      <c r="AF3" s="25"/>
      <c r="AG3" s="25"/>
      <c r="AH3" s="25"/>
      <c r="AI3" s="26"/>
      <c r="AJ3" s="26"/>
      <c r="AK3" s="35"/>
      <c r="AL3" s="35"/>
      <c r="AM3" s="35"/>
      <c r="AN3" s="26"/>
      <c r="AO3" s="26"/>
      <c r="AP3" s="26"/>
      <c r="AQ3" s="26"/>
      <c r="AR3" s="26"/>
      <c r="AS3" s="26"/>
      <c r="AT3" s="26"/>
      <c r="AU3" s="25"/>
      <c r="AV3" s="66"/>
      <c r="AW3" s="2">
        <v>1</v>
      </c>
      <c r="AX3" s="2">
        <v>0</v>
      </c>
      <c r="BA3" s="26"/>
      <c r="BB3" s="38"/>
    </row>
    <row r="4" spans="1:55" s="2" customFormat="1" x14ac:dyDescent="0.2">
      <c r="A4" s="2" t="s">
        <v>161</v>
      </c>
      <c r="D4" s="2">
        <v>1</v>
      </c>
      <c r="E4" s="2" t="s">
        <v>502</v>
      </c>
      <c r="F4" s="2">
        <v>0</v>
      </c>
      <c r="G4" s="2">
        <v>0</v>
      </c>
      <c r="H4" s="2">
        <v>0</v>
      </c>
      <c r="I4" s="2">
        <v>1</v>
      </c>
      <c r="J4" s="25">
        <v>26.207000000000001</v>
      </c>
      <c r="K4" s="25">
        <v>26.207000000000001</v>
      </c>
      <c r="L4" s="25">
        <f>M4</f>
        <v>18.524362</v>
      </c>
      <c r="M4" s="26">
        <v>18.524362</v>
      </c>
      <c r="N4" s="26">
        <f t="shared" si="0"/>
        <v>0</v>
      </c>
      <c r="O4" s="26"/>
      <c r="P4" s="26"/>
      <c r="Q4" s="26"/>
      <c r="R4" s="26"/>
      <c r="S4" s="26"/>
      <c r="T4" s="26"/>
      <c r="U4" s="26"/>
      <c r="V4" s="26"/>
      <c r="W4" s="26"/>
      <c r="X4" s="26"/>
      <c r="Y4" s="26">
        <v>0.47399999999999998</v>
      </c>
      <c r="Z4" s="26"/>
      <c r="AA4" s="31">
        <f t="shared" si="1"/>
        <v>1</v>
      </c>
      <c r="AB4" s="31">
        <f t="shared" si="2"/>
        <v>0.70684786507421682</v>
      </c>
      <c r="AC4" s="31">
        <f t="shared" si="3"/>
        <v>0.70684786507421682</v>
      </c>
      <c r="AD4" s="41">
        <v>9</v>
      </c>
      <c r="AE4" s="25">
        <v>9</v>
      </c>
      <c r="AF4" s="25">
        <v>9</v>
      </c>
      <c r="AG4" s="25">
        <f>AB4*AE4</f>
        <v>6.361630785667951</v>
      </c>
      <c r="AH4" s="25">
        <f>2/9</f>
        <v>0.22222222222222221</v>
      </c>
      <c r="AI4" s="26"/>
      <c r="AJ4" s="26"/>
      <c r="AK4" s="35"/>
      <c r="AL4" s="35"/>
      <c r="AM4" s="35"/>
      <c r="AN4" s="26"/>
      <c r="AO4" s="26"/>
      <c r="AP4" s="26"/>
      <c r="AQ4" s="26"/>
      <c r="AR4" s="26"/>
      <c r="AS4" s="26"/>
      <c r="AT4" s="26"/>
      <c r="AU4" s="25"/>
      <c r="AV4" s="66"/>
      <c r="AW4" s="2">
        <v>1</v>
      </c>
      <c r="AX4" s="2">
        <v>0</v>
      </c>
      <c r="BA4" s="26"/>
      <c r="BB4" s="38"/>
      <c r="BC4" s="2" t="s">
        <v>468</v>
      </c>
    </row>
    <row r="5" spans="1:55" s="2" customFormat="1" x14ac:dyDescent="0.2">
      <c r="A5" s="2" t="s">
        <v>162</v>
      </c>
      <c r="D5" s="2">
        <v>1</v>
      </c>
      <c r="E5" s="2" t="s">
        <v>502</v>
      </c>
      <c r="F5" s="2">
        <v>0</v>
      </c>
      <c r="G5" s="2">
        <v>0</v>
      </c>
      <c r="H5" s="2">
        <v>0</v>
      </c>
      <c r="I5" s="2">
        <v>1</v>
      </c>
      <c r="J5" s="25"/>
      <c r="K5" s="25">
        <f>L5</f>
        <v>9.9909739999999996</v>
      </c>
      <c r="L5" s="25">
        <f>M5</f>
        <v>9.9909739999999996</v>
      </c>
      <c r="M5" s="26">
        <v>9.9909739999999996</v>
      </c>
      <c r="N5" s="26">
        <f t="shared" si="0"/>
        <v>0</v>
      </c>
      <c r="O5" s="26"/>
      <c r="P5" s="26"/>
      <c r="Q5" s="26"/>
      <c r="R5" s="26"/>
      <c r="S5" s="26"/>
      <c r="T5" s="26"/>
      <c r="U5" s="26"/>
      <c r="V5" s="26"/>
      <c r="W5" s="26"/>
      <c r="X5" s="26"/>
      <c r="Y5" s="26">
        <v>0.53700000000000003</v>
      </c>
      <c r="Z5" s="26"/>
      <c r="AA5" s="31" t="e">
        <f t="shared" si="1"/>
        <v>#DIV/0!</v>
      </c>
      <c r="AB5" s="31" t="e">
        <f t="shared" si="2"/>
        <v>#DIV/0!</v>
      </c>
      <c r="AC5" s="31"/>
      <c r="AD5" s="41"/>
      <c r="AE5" s="25"/>
      <c r="AF5" s="25"/>
      <c r="AG5" s="25"/>
      <c r="AH5" s="25"/>
      <c r="AI5" s="26"/>
      <c r="AJ5" s="26"/>
      <c r="AK5" s="35"/>
      <c r="AL5" s="35"/>
      <c r="AM5" s="35"/>
      <c r="AN5" s="26"/>
      <c r="AO5" s="26"/>
      <c r="AP5" s="26"/>
      <c r="AQ5" s="26"/>
      <c r="AR5" s="26"/>
      <c r="AS5" s="26"/>
      <c r="AT5" s="26"/>
      <c r="AU5" s="25"/>
      <c r="AV5" s="66"/>
      <c r="AW5" s="2">
        <v>1</v>
      </c>
      <c r="AX5" s="2">
        <v>0</v>
      </c>
      <c r="BA5" s="26"/>
      <c r="BB5" s="38"/>
      <c r="BC5" s="2" t="s">
        <v>467</v>
      </c>
    </row>
    <row r="6" spans="1:55" s="2" customFormat="1" x14ac:dyDescent="0.2">
      <c r="A6" s="2" t="s">
        <v>160</v>
      </c>
      <c r="E6" s="2" t="s">
        <v>502</v>
      </c>
      <c r="F6" s="2">
        <v>0</v>
      </c>
      <c r="G6" s="2">
        <v>1</v>
      </c>
      <c r="H6" s="2">
        <v>0</v>
      </c>
      <c r="I6" s="2">
        <v>1</v>
      </c>
      <c r="J6" s="25">
        <v>11.003</v>
      </c>
      <c r="K6" s="25">
        <v>11.003</v>
      </c>
      <c r="L6" s="25">
        <f>SUM(N6:R6)</f>
        <v>10.532999999999999</v>
      </c>
      <c r="M6" s="26">
        <v>5.9047939999999999</v>
      </c>
      <c r="N6" s="26">
        <f t="shared" si="0"/>
        <v>10.045999999999999</v>
      </c>
      <c r="O6" s="26">
        <v>0.48699999999999999</v>
      </c>
      <c r="P6" s="26"/>
      <c r="Q6" s="26"/>
      <c r="R6" s="26"/>
      <c r="S6" s="26"/>
      <c r="T6" s="26"/>
      <c r="U6" s="26"/>
      <c r="V6" s="26">
        <v>10.045999999999999</v>
      </c>
      <c r="W6" s="26"/>
      <c r="X6" s="26"/>
      <c r="Y6" s="26">
        <v>0.11799999999999999</v>
      </c>
      <c r="Z6" s="26"/>
      <c r="AA6" s="31">
        <f t="shared" si="1"/>
        <v>1</v>
      </c>
      <c r="AB6" s="31">
        <f t="shared" si="2"/>
        <v>0.9572843769880941</v>
      </c>
      <c r="AC6" s="31">
        <f t="shared" si="3"/>
        <v>0.9572843769880941</v>
      </c>
      <c r="AD6" s="41">
        <v>2.9</v>
      </c>
      <c r="AE6" s="25">
        <v>2.9</v>
      </c>
      <c r="AF6" s="25">
        <f>AA6*AE6</f>
        <v>2.9</v>
      </c>
      <c r="AG6" s="25">
        <f>AB6*AE6</f>
        <v>2.7761246932654728</v>
      </c>
      <c r="AH6" s="25">
        <f>0.5/2.9</f>
        <v>0.17241379310344829</v>
      </c>
      <c r="AI6" s="26">
        <v>1.494</v>
      </c>
      <c r="AJ6" s="26">
        <v>0.57599999999999996</v>
      </c>
      <c r="AK6" s="35"/>
      <c r="AL6" s="35"/>
      <c r="AM6" s="35"/>
      <c r="AN6" s="26">
        <f>SUM(AI6:AJ6)</f>
        <v>2.0699999999999998</v>
      </c>
      <c r="AO6" s="26">
        <f>AN6*AG6/AE6</f>
        <v>1.9815786603653547</v>
      </c>
      <c r="AP6" s="26"/>
      <c r="AQ6" s="26"/>
      <c r="AR6" s="26">
        <f>IF(AS6&gt;0,0,MAX(0,(AN6-0.8*AQ6)*AB6))</f>
        <v>1.9815786603653547</v>
      </c>
      <c r="AS6" s="26">
        <f>AP6*AB6</f>
        <v>0</v>
      </c>
      <c r="AT6" s="26">
        <f>AQ6*AB6</f>
        <v>0</v>
      </c>
      <c r="AU6" s="25">
        <f>SUM(AR6:AT6)</f>
        <v>1.9815786603653547</v>
      </c>
      <c r="AV6" s="66">
        <f>AU6/L6</f>
        <v>0.18813050986094701</v>
      </c>
      <c r="AW6" s="2">
        <v>1</v>
      </c>
      <c r="AX6" s="2">
        <v>1</v>
      </c>
      <c r="AZ6" s="2">
        <f>MAX(0,(AN6-0.8*AQ6)*AB6)</f>
        <v>1.9815786603653547</v>
      </c>
      <c r="BA6" s="26">
        <f>AZ6+AT6</f>
        <v>1.9815786603653547</v>
      </c>
      <c r="BB6" s="38">
        <f>BA6/L6</f>
        <v>0.18813050986094701</v>
      </c>
    </row>
    <row r="7" spans="1:55" s="2" customFormat="1" x14ac:dyDescent="0.2">
      <c r="A7" s="2" t="s">
        <v>163</v>
      </c>
      <c r="E7" s="2" t="s">
        <v>502</v>
      </c>
      <c r="F7" s="2">
        <v>0</v>
      </c>
      <c r="G7" s="2">
        <v>1</v>
      </c>
      <c r="H7" s="2">
        <v>0</v>
      </c>
      <c r="I7" s="2">
        <v>1</v>
      </c>
      <c r="J7" s="25">
        <v>6.1470599999999997</v>
      </c>
      <c r="K7" s="25">
        <v>6.1470599999999997</v>
      </c>
      <c r="L7" s="25">
        <f>IF(SUM(N7:R7)&gt;0,SUM(N7:R7),M7)</f>
        <v>6.1470599999999997</v>
      </c>
      <c r="M7" s="26">
        <v>6.1470599999999997</v>
      </c>
      <c r="N7" s="26">
        <f t="shared" si="0"/>
        <v>0</v>
      </c>
      <c r="O7" s="26"/>
      <c r="P7" s="26"/>
      <c r="Q7" s="26"/>
      <c r="R7" s="26"/>
      <c r="S7" s="26"/>
      <c r="T7" s="26"/>
      <c r="U7" s="26"/>
      <c r="V7" s="26"/>
      <c r="W7" s="26"/>
      <c r="X7" s="26"/>
      <c r="Y7" s="26">
        <v>0.15</v>
      </c>
      <c r="Z7" s="26"/>
      <c r="AA7" s="31">
        <f t="shared" si="1"/>
        <v>1</v>
      </c>
      <c r="AB7" s="31">
        <f t="shared" si="2"/>
        <v>1</v>
      </c>
      <c r="AC7" s="31">
        <f t="shared" si="3"/>
        <v>1</v>
      </c>
      <c r="AD7" s="41">
        <v>1.9</v>
      </c>
      <c r="AE7" s="25">
        <v>1.9</v>
      </c>
      <c r="AF7" s="25">
        <v>1.9</v>
      </c>
      <c r="AG7" s="25">
        <v>1.9</v>
      </c>
      <c r="AH7" s="25">
        <f>1.5/1.9</f>
        <v>0.78947368421052633</v>
      </c>
      <c r="AI7" s="26">
        <v>0.95</v>
      </c>
      <c r="AK7" s="35"/>
      <c r="AL7" s="35"/>
      <c r="AM7" s="35"/>
      <c r="AN7" s="26">
        <f>SUM(AI7:AI7)</f>
        <v>0.95</v>
      </c>
      <c r="AO7" s="26">
        <f>AN7*AG7/AE7</f>
        <v>0.95000000000000007</v>
      </c>
      <c r="AP7" s="26"/>
      <c r="AQ7" s="26">
        <v>0.15</v>
      </c>
      <c r="AR7" s="26">
        <f>AO7</f>
        <v>0.95000000000000007</v>
      </c>
      <c r="AS7" s="26">
        <f>AP7*AB7</f>
        <v>0</v>
      </c>
      <c r="AT7" s="26">
        <f>AQ7*AB7</f>
        <v>0.15</v>
      </c>
      <c r="AU7" s="25">
        <f>SUM(AR7:AT7)</f>
        <v>1.1000000000000001</v>
      </c>
      <c r="AV7" s="66">
        <f>AU7/L7</f>
        <v>0.17894733417275904</v>
      </c>
      <c r="AW7" s="2">
        <v>1</v>
      </c>
      <c r="AX7" s="2">
        <v>0</v>
      </c>
      <c r="AZ7" s="2">
        <f>MAX(0,(AN7-0.8*AQ7)*AB7)</f>
        <v>0.83</v>
      </c>
      <c r="BA7" s="26">
        <f>AZ7+AT7</f>
        <v>0.98</v>
      </c>
      <c r="BB7" s="38">
        <f>BA7/L7</f>
        <v>0.15942580680845803</v>
      </c>
      <c r="BC7" s="2" t="s">
        <v>666</v>
      </c>
    </row>
    <row r="8" spans="1:55" s="10" customFormat="1" ht="15" x14ac:dyDescent="0.25">
      <c r="A8" s="44" t="s">
        <v>401</v>
      </c>
      <c r="B8" s="44">
        <f>SUM(B2:B7)</f>
        <v>0</v>
      </c>
      <c r="C8" s="44">
        <f>SUM(C2:C7)</f>
        <v>0</v>
      </c>
      <c r="D8" s="44">
        <f>SUM(D2:D7)</f>
        <v>3</v>
      </c>
      <c r="E8" s="44">
        <f>COUNTA(E2:E7)</f>
        <v>6</v>
      </c>
      <c r="F8" s="10">
        <f>SUM(F2:F7)</f>
        <v>0</v>
      </c>
      <c r="G8" s="10">
        <f t="shared" ref="G8:L8" si="4">SUM(G2:G7)</f>
        <v>2</v>
      </c>
      <c r="H8" s="10">
        <f t="shared" si="4"/>
        <v>0</v>
      </c>
      <c r="I8" s="10">
        <f t="shared" si="4"/>
        <v>6</v>
      </c>
      <c r="J8" s="80">
        <f t="shared" si="4"/>
        <v>49.604247999999998</v>
      </c>
      <c r="K8" s="80">
        <f t="shared" si="4"/>
        <v>81.214221999999992</v>
      </c>
      <c r="L8" s="80">
        <f t="shared" si="4"/>
        <v>72.270374999999987</v>
      </c>
      <c r="M8" s="44">
        <f t="shared" ref="M8:Z8" si="5">SUM(M2:M7)</f>
        <v>62.486190000000008</v>
      </c>
      <c r="N8" s="10">
        <f t="shared" si="5"/>
        <v>15.501978999999999</v>
      </c>
      <c r="O8" s="10">
        <f t="shared" si="5"/>
        <v>0.48699999999999999</v>
      </c>
      <c r="P8" s="10">
        <f t="shared" si="5"/>
        <v>0</v>
      </c>
      <c r="Q8" s="10">
        <f t="shared" si="5"/>
        <v>0</v>
      </c>
      <c r="R8" s="10">
        <f t="shared" si="5"/>
        <v>0</v>
      </c>
      <c r="S8" s="10">
        <f t="shared" si="5"/>
        <v>0</v>
      </c>
      <c r="T8" s="10">
        <f t="shared" si="5"/>
        <v>0.3</v>
      </c>
      <c r="U8" s="10">
        <f t="shared" si="5"/>
        <v>0</v>
      </c>
      <c r="V8" s="10">
        <f t="shared" si="5"/>
        <v>14.928978999999998</v>
      </c>
      <c r="W8" s="10">
        <f t="shared" si="5"/>
        <v>0.27300000000000002</v>
      </c>
      <c r="X8" s="44">
        <f t="shared" si="5"/>
        <v>0</v>
      </c>
      <c r="Y8" s="44">
        <f t="shared" si="5"/>
        <v>1.8789999999999996</v>
      </c>
      <c r="Z8" s="10">
        <f t="shared" si="5"/>
        <v>0</v>
      </c>
      <c r="AA8" s="27"/>
      <c r="AB8" s="32"/>
      <c r="AC8" s="37"/>
      <c r="AD8" s="104">
        <f>SUM(AD2:AD7)</f>
        <v>16.8</v>
      </c>
      <c r="AE8" s="104">
        <f t="shared" ref="AE8:AJ8" si="6">SUM(AE2:AE7)</f>
        <v>16.8</v>
      </c>
      <c r="AF8" s="104">
        <f t="shared" si="6"/>
        <v>16.8</v>
      </c>
      <c r="AG8" s="104">
        <f t="shared" si="6"/>
        <v>13.657804211259071</v>
      </c>
      <c r="AH8" s="52">
        <f>AVERAGE(AH2:AH7)</f>
        <v>0.46269409155071589</v>
      </c>
      <c r="AI8" s="36">
        <f t="shared" si="6"/>
        <v>4.2069999999999999</v>
      </c>
      <c r="AJ8" s="36">
        <f t="shared" si="6"/>
        <v>0.57599999999999996</v>
      </c>
      <c r="AK8" s="36">
        <f>SUM(AK2:AK7)</f>
        <v>0</v>
      </c>
      <c r="AL8" s="36">
        <f>SUM(AL2:AL7)</f>
        <v>0</v>
      </c>
      <c r="AM8" s="36">
        <f>SUM(AM2:AM7)</f>
        <v>0</v>
      </c>
      <c r="AN8" s="27"/>
      <c r="AO8" s="27"/>
      <c r="AP8" s="27"/>
      <c r="AQ8" s="27"/>
      <c r="AR8" s="27"/>
      <c r="AS8" s="27"/>
      <c r="AT8" s="27"/>
      <c r="AU8" s="52">
        <f>SUM(AU2:AU7)</f>
        <v>4.6212939653953935</v>
      </c>
      <c r="AV8" s="66">
        <f>AU8/(L2+L6+L7)</f>
        <v>0.20876788143512912</v>
      </c>
      <c r="AZ8" s="27"/>
      <c r="BA8" s="26">
        <f>SUM(BA2:BA7)</f>
        <v>4.5012939653953934</v>
      </c>
      <c r="BB8" s="38"/>
    </row>
  </sheetData>
  <pageMargins left="0.7" right="0.7" top="0.75" bottom="0.75" header="0.3" footer="0.3"/>
  <pageSetup paperSize="9" orientation="portrait" horizontalDpi="4294967292" verticalDpi="4294967292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A27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1" sqref="E21"/>
    </sheetView>
  </sheetViews>
  <sheetFormatPr defaultColWidth="8.75" defaultRowHeight="14.25" x14ac:dyDescent="0.2"/>
  <cols>
    <col min="1" max="1" width="35.5" style="6" customWidth="1"/>
    <col min="2" max="2" width="9.25" style="6" bestFit="1" customWidth="1"/>
    <col min="3" max="6" width="6.25" style="6" customWidth="1"/>
    <col min="7" max="7" width="9.875" style="6" customWidth="1"/>
    <col min="8" max="8" width="9.125" style="6" customWidth="1"/>
    <col min="9" max="9" width="8.125" style="6" customWidth="1"/>
    <col min="10" max="10" width="8.75" style="5" customWidth="1"/>
    <col min="11" max="11" width="10.75" style="5" customWidth="1"/>
    <col min="12" max="12" width="12.125" style="5" bestFit="1" customWidth="1"/>
    <col min="13" max="13" width="8.5" style="6" bestFit="1" customWidth="1"/>
    <col min="14" max="14" width="9.125" style="6" customWidth="1"/>
    <col min="15" max="15" width="11.125" style="6" customWidth="1"/>
    <col min="16" max="16" width="6.625" style="6" customWidth="1"/>
    <col min="17" max="18" width="10.125" style="6" bestFit="1" customWidth="1"/>
    <col min="19" max="19" width="9.5" style="6" bestFit="1" customWidth="1"/>
    <col min="20" max="20" width="11" style="6" customWidth="1"/>
    <col min="21" max="21" width="10.75" style="6" customWidth="1"/>
    <col min="22" max="22" width="10.125" style="6" bestFit="1" customWidth="1"/>
    <col min="23" max="23" width="7.375" style="2" customWidth="1"/>
    <col min="24" max="24" width="9.375" style="2" customWidth="1"/>
    <col min="25" max="25" width="11.625" style="5" customWidth="1"/>
    <col min="26" max="27" width="11.625" style="6" customWidth="1"/>
    <col min="28" max="28" width="11.875" style="6" customWidth="1"/>
    <col min="29" max="29" width="7.375" style="5" customWidth="1"/>
    <col min="30" max="30" width="11.625" style="5" bestFit="1" customWidth="1"/>
    <col min="31" max="31" width="8.75" style="5"/>
    <col min="32" max="33" width="11.625" style="5" bestFit="1" customWidth="1"/>
    <col min="34" max="45" width="8.75" style="6"/>
    <col min="46" max="47" width="8.75" style="5"/>
    <col min="48" max="16384" width="8.75" style="6"/>
  </cols>
  <sheetData>
    <row r="1" spans="1:53" s="1" customFormat="1" ht="142.5" x14ac:dyDescent="0.2">
      <c r="A1" s="3" t="s">
        <v>0</v>
      </c>
      <c r="B1" s="3" t="s">
        <v>457</v>
      </c>
      <c r="C1" s="3" t="s">
        <v>459</v>
      </c>
      <c r="D1" s="3" t="s">
        <v>458</v>
      </c>
      <c r="E1" s="1" t="s">
        <v>1</v>
      </c>
      <c r="F1" s="1" t="s">
        <v>212</v>
      </c>
      <c r="G1" s="1" t="s">
        <v>213</v>
      </c>
      <c r="H1" s="1" t="s">
        <v>214</v>
      </c>
      <c r="I1" s="1" t="s">
        <v>401</v>
      </c>
      <c r="J1" s="22" t="s">
        <v>2</v>
      </c>
      <c r="K1" s="22" t="s">
        <v>4</v>
      </c>
      <c r="L1" s="22" t="s">
        <v>8</v>
      </c>
      <c r="M1" s="21" t="s">
        <v>44</v>
      </c>
      <c r="N1" s="21" t="s">
        <v>451</v>
      </c>
      <c r="O1" s="21" t="s">
        <v>450</v>
      </c>
      <c r="P1" s="21" t="s">
        <v>43</v>
      </c>
      <c r="Q1" s="21" t="s">
        <v>452</v>
      </c>
      <c r="R1" s="23" t="s">
        <v>9</v>
      </c>
      <c r="S1" s="23" t="s">
        <v>10</v>
      </c>
      <c r="T1" s="23" t="s">
        <v>12</v>
      </c>
      <c r="U1" s="23" t="s">
        <v>13</v>
      </c>
      <c r="V1" s="23" t="s">
        <v>45</v>
      </c>
      <c r="W1" s="23" t="s">
        <v>42</v>
      </c>
      <c r="X1" s="23" t="s">
        <v>41</v>
      </c>
      <c r="Y1" s="22" t="s">
        <v>62</v>
      </c>
      <c r="Z1" s="21" t="s">
        <v>453</v>
      </c>
      <c r="AA1" s="28" t="s">
        <v>454</v>
      </c>
      <c r="AB1" s="29" t="s">
        <v>445</v>
      </c>
      <c r="AC1" s="103" t="s">
        <v>15</v>
      </c>
      <c r="AD1" s="22" t="s">
        <v>16</v>
      </c>
      <c r="AE1" s="22" t="s">
        <v>446</v>
      </c>
      <c r="AF1" s="22" t="s">
        <v>21</v>
      </c>
      <c r="AG1" s="22" t="s">
        <v>19</v>
      </c>
      <c r="AH1" s="21" t="s">
        <v>14</v>
      </c>
      <c r="AI1" s="21" t="s">
        <v>444</v>
      </c>
      <c r="AJ1" s="33" t="s">
        <v>441</v>
      </c>
      <c r="AK1" s="33" t="s">
        <v>442</v>
      </c>
      <c r="AL1" s="33" t="s">
        <v>3</v>
      </c>
      <c r="AM1" s="21" t="s">
        <v>443</v>
      </c>
      <c r="AN1" s="21" t="s">
        <v>463</v>
      </c>
      <c r="AO1" s="23" t="s">
        <v>34</v>
      </c>
      <c r="AP1" s="23" t="s">
        <v>33</v>
      </c>
      <c r="AQ1" s="23" t="s">
        <v>464</v>
      </c>
      <c r="AR1" s="23" t="s">
        <v>22</v>
      </c>
      <c r="AS1" s="23" t="s">
        <v>23</v>
      </c>
      <c r="AT1" s="22" t="s">
        <v>17</v>
      </c>
      <c r="AU1" s="61" t="s">
        <v>11</v>
      </c>
      <c r="AV1" s="1" t="s">
        <v>411</v>
      </c>
      <c r="AW1" s="1" t="s">
        <v>412</v>
      </c>
      <c r="AY1" s="1" t="s">
        <v>465</v>
      </c>
      <c r="AZ1" s="1" t="s">
        <v>447</v>
      </c>
    </row>
    <row r="2" spans="1:53" x14ac:dyDescent="0.2">
      <c r="A2" s="2" t="s">
        <v>30</v>
      </c>
      <c r="B2" s="2"/>
      <c r="C2" s="2"/>
      <c r="D2" s="2"/>
      <c r="E2" s="6" t="s">
        <v>502</v>
      </c>
      <c r="F2" s="6">
        <v>1</v>
      </c>
      <c r="G2" s="6">
        <v>1</v>
      </c>
      <c r="H2" s="6">
        <v>0</v>
      </c>
      <c r="I2" s="6">
        <v>0</v>
      </c>
      <c r="J2" s="25">
        <v>50.454999999999998</v>
      </c>
      <c r="K2" s="25">
        <v>50.454999999999998</v>
      </c>
      <c r="L2" s="25">
        <f t="shared" ref="L2:L16" si="0">SUM(M2:Q2)</f>
        <v>38.972999999999999</v>
      </c>
      <c r="M2" s="24">
        <f t="shared" ref="M2:M16" si="1">SUM(R2:V2)</f>
        <v>38.972999999999999</v>
      </c>
      <c r="N2" s="24"/>
      <c r="O2" s="24"/>
      <c r="P2" s="24"/>
      <c r="Q2" s="24"/>
      <c r="R2" s="26">
        <v>36.972999999999999</v>
      </c>
      <c r="S2" s="26">
        <v>2</v>
      </c>
      <c r="T2" s="26"/>
      <c r="U2" s="26"/>
      <c r="V2" s="26"/>
      <c r="W2" s="26">
        <v>36.872999999999998</v>
      </c>
      <c r="X2" s="26">
        <v>2</v>
      </c>
      <c r="Y2" s="25"/>
      <c r="Z2" s="31">
        <f t="shared" ref="Z2:Z16" si="2">IF(K2&gt;0,(K2-Y2)/(J2-Y2),(L2-Y2)/(J2-Y2))</f>
        <v>1</v>
      </c>
      <c r="AA2" s="31">
        <f t="shared" ref="AA2:AA16" si="3">(L2-Y2)/(J2-Y2)</f>
        <v>0.77243087900109009</v>
      </c>
      <c r="AB2" s="31">
        <f t="shared" ref="AB2:AB16" si="4">AA2/Z2</f>
        <v>0.77243087900109009</v>
      </c>
      <c r="AC2" s="41">
        <v>21</v>
      </c>
      <c r="AD2" s="25">
        <v>15.2</v>
      </c>
      <c r="AE2" s="25">
        <f t="shared" ref="AE2:AE16" si="5">Z2*AD2</f>
        <v>15.2</v>
      </c>
      <c r="AF2" s="25">
        <f t="shared" ref="AF2:AF16" si="6">AA2*AD2</f>
        <v>11.740949360816568</v>
      </c>
      <c r="AG2" s="25">
        <f>2.8/15.2</f>
        <v>0.18421052631578946</v>
      </c>
      <c r="AH2" s="24">
        <v>5.5039999999999996</v>
      </c>
      <c r="AI2" s="24">
        <v>2.2360000000000002</v>
      </c>
      <c r="AJ2" s="34"/>
      <c r="AK2" s="34"/>
      <c r="AL2" s="34">
        <v>1288</v>
      </c>
      <c r="AM2" s="26">
        <f t="shared" ref="AM2:AM16" si="7">SUM(AH2:AI2)</f>
        <v>7.74</v>
      </c>
      <c r="AN2" s="26">
        <f t="shared" ref="AN2:AN16" si="8">AM2*AF2/AD2</f>
        <v>5.9786150034684375</v>
      </c>
      <c r="AO2" s="26">
        <f>6.125+0.616</f>
        <v>6.7409999999999997</v>
      </c>
      <c r="AP2" s="26"/>
      <c r="AQ2" s="26">
        <f t="shared" ref="AQ2:AQ16" si="9">IF(AR2&gt;0,0,MAX(0,(AM2-0.8*AP2)*AA2))</f>
        <v>0</v>
      </c>
      <c r="AR2" s="26">
        <f>AO2*AA2</f>
        <v>5.2069565553463484</v>
      </c>
      <c r="AS2" s="26">
        <v>2.8580000000000001</v>
      </c>
      <c r="AT2" s="25">
        <f t="shared" ref="AT2:AT16" si="10">SUM(AQ2:AS2)</f>
        <v>8.0649565553463489</v>
      </c>
      <c r="AU2" s="66">
        <f t="shared" ref="AU2:AU17" si="11">AT2/L2</f>
        <v>0.20693702192149308</v>
      </c>
      <c r="AV2" s="6">
        <v>0</v>
      </c>
      <c r="AW2" s="6">
        <v>0</v>
      </c>
      <c r="AY2" s="2">
        <f t="shared" ref="AY2:AY16" si="12">MAX(0,(AM2-0.8*AP2)*AA2)</f>
        <v>5.9786150034684375</v>
      </c>
      <c r="AZ2" s="26">
        <f t="shared" ref="AZ2:AZ16" si="13">AY2+AS2</f>
        <v>8.8366150034684381</v>
      </c>
      <c r="BA2" s="38">
        <f t="shared" ref="BA2:BA17" si="14">AZ2/L2</f>
        <v>0.22673684354472168</v>
      </c>
    </row>
    <row r="3" spans="1:53" x14ac:dyDescent="0.2">
      <c r="A3" s="2" t="s">
        <v>7</v>
      </c>
      <c r="B3" s="2"/>
      <c r="C3" s="2"/>
      <c r="D3" s="2"/>
      <c r="E3" s="6" t="s">
        <v>502</v>
      </c>
      <c r="F3" s="6">
        <v>1</v>
      </c>
      <c r="G3" s="6">
        <v>1</v>
      </c>
      <c r="H3" s="6">
        <v>0</v>
      </c>
      <c r="I3" s="6">
        <v>0</v>
      </c>
      <c r="J3" s="25">
        <v>473.423</v>
      </c>
      <c r="K3" s="25">
        <v>473.423</v>
      </c>
      <c r="L3" s="25">
        <f t="shared" si="0"/>
        <v>390.654</v>
      </c>
      <c r="M3" s="24">
        <f t="shared" si="1"/>
        <v>390.654</v>
      </c>
      <c r="N3" s="24"/>
      <c r="O3" s="24"/>
      <c r="P3" s="24"/>
      <c r="Q3" s="24"/>
      <c r="R3" s="26">
        <v>150.43700000000001</v>
      </c>
      <c r="S3" s="26">
        <v>3.6</v>
      </c>
      <c r="T3" s="26">
        <f>10.5+140.464+19.181+19</f>
        <v>189.14500000000001</v>
      </c>
      <c r="U3" s="26">
        <f>4.272+42+1.2</f>
        <v>47.472000000000001</v>
      </c>
      <c r="V3" s="26"/>
      <c r="W3" s="26">
        <v>149.172</v>
      </c>
      <c r="X3" s="26">
        <v>3.6</v>
      </c>
      <c r="Y3" s="25"/>
      <c r="Z3" s="31">
        <f t="shared" si="2"/>
        <v>1</v>
      </c>
      <c r="AA3" s="31">
        <f t="shared" si="3"/>
        <v>0.82516903488001214</v>
      </c>
      <c r="AB3" s="31">
        <f t="shared" si="4"/>
        <v>0.82516903488001214</v>
      </c>
      <c r="AC3" s="41">
        <v>259.48</v>
      </c>
      <c r="AD3" s="25">
        <v>41.72</v>
      </c>
      <c r="AE3" s="25">
        <f t="shared" si="5"/>
        <v>41.72</v>
      </c>
      <c r="AF3" s="25">
        <f t="shared" si="6"/>
        <v>34.426052135194105</v>
      </c>
      <c r="AG3" s="25">
        <v>0.34</v>
      </c>
      <c r="AH3" s="24">
        <v>17.928000000000001</v>
      </c>
      <c r="AI3" s="24">
        <v>8.4830000000000005</v>
      </c>
      <c r="AJ3" s="34"/>
      <c r="AK3" s="34">
        <v>340</v>
      </c>
      <c r="AL3" s="34"/>
      <c r="AM3" s="26">
        <f t="shared" si="7"/>
        <v>26.411000000000001</v>
      </c>
      <c r="AN3" s="26">
        <f t="shared" si="8"/>
        <v>21.793539380216</v>
      </c>
      <c r="AO3" s="24"/>
      <c r="AP3" s="26">
        <v>23.384</v>
      </c>
      <c r="AQ3" s="26">
        <f t="shared" si="9"/>
        <v>0</v>
      </c>
      <c r="AR3" s="26">
        <f>10.927+4.317</f>
        <v>15.244</v>
      </c>
      <c r="AS3" s="26">
        <f>AP3*AA3</f>
        <v>19.295752711634204</v>
      </c>
      <c r="AT3" s="25">
        <f t="shared" si="10"/>
        <v>34.539752711634208</v>
      </c>
      <c r="AU3" s="66">
        <f t="shared" si="11"/>
        <v>8.8415202997113071E-2</v>
      </c>
      <c r="AV3" s="6">
        <v>0</v>
      </c>
      <c r="AW3" s="6">
        <v>0</v>
      </c>
      <c r="AY3" s="2">
        <f t="shared" si="12"/>
        <v>6.3569372109086384</v>
      </c>
      <c r="AZ3" s="26">
        <f t="shared" si="13"/>
        <v>25.652689922542841</v>
      </c>
      <c r="BA3" s="38">
        <f t="shared" si="14"/>
        <v>6.5666011157041376E-2</v>
      </c>
    </row>
    <row r="4" spans="1:53" x14ac:dyDescent="0.2">
      <c r="A4" s="2" t="s">
        <v>66</v>
      </c>
      <c r="B4" s="2"/>
      <c r="C4" s="2"/>
      <c r="D4" s="2"/>
      <c r="E4" s="6" t="s">
        <v>502</v>
      </c>
      <c r="F4" s="6">
        <v>1</v>
      </c>
      <c r="G4" s="2">
        <v>0</v>
      </c>
      <c r="H4" s="6">
        <v>0</v>
      </c>
      <c r="I4" s="6">
        <v>0</v>
      </c>
      <c r="J4" s="25">
        <v>284.92899999999997</v>
      </c>
      <c r="K4" s="25">
        <v>284.92899999999997</v>
      </c>
      <c r="L4" s="25">
        <f t="shared" si="0"/>
        <v>272.04399999999998</v>
      </c>
      <c r="M4" s="24">
        <f t="shared" si="1"/>
        <v>264.26299999999998</v>
      </c>
      <c r="N4" s="24"/>
      <c r="O4" s="24"/>
      <c r="P4" s="24"/>
      <c r="Q4" s="24">
        <f>0.08+7.701</f>
        <v>7.7809999999999997</v>
      </c>
      <c r="R4" s="26">
        <f>159.07+11.511</f>
        <v>170.58099999999999</v>
      </c>
      <c r="S4" s="26">
        <v>18.917000000000002</v>
      </c>
      <c r="T4" s="26"/>
      <c r="U4" s="26">
        <v>74.765000000000001</v>
      </c>
      <c r="V4" s="26"/>
      <c r="W4" s="26">
        <v>141.774</v>
      </c>
      <c r="X4" s="26">
        <v>18.983000000000001</v>
      </c>
      <c r="Y4" s="25">
        <v>156</v>
      </c>
      <c r="Z4" s="31">
        <f t="shared" si="2"/>
        <v>1</v>
      </c>
      <c r="AA4" s="31">
        <f t="shared" si="3"/>
        <v>0.90006127403454617</v>
      </c>
      <c r="AB4" s="31">
        <f t="shared" si="4"/>
        <v>0.90006127403454617</v>
      </c>
      <c r="AC4" s="41">
        <v>112</v>
      </c>
      <c r="AD4" s="25">
        <v>52</v>
      </c>
      <c r="AE4" s="25">
        <f t="shared" si="5"/>
        <v>52</v>
      </c>
      <c r="AF4" s="25">
        <f t="shared" si="6"/>
        <v>46.803186249796397</v>
      </c>
      <c r="AG4" s="25">
        <v>0.25</v>
      </c>
      <c r="AH4" s="24">
        <v>20.367000000000001</v>
      </c>
      <c r="AI4" s="24">
        <f>11.531*(AH4/29.031)</f>
        <v>8.0896929833626139</v>
      </c>
      <c r="AJ4" s="34"/>
      <c r="AK4" s="34"/>
      <c r="AL4" s="34"/>
      <c r="AM4" s="26">
        <f t="shared" si="7"/>
        <v>28.456692983362615</v>
      </c>
      <c r="AN4" s="26">
        <f t="shared" si="8"/>
        <v>25.612767341415285</v>
      </c>
      <c r="AO4" s="24"/>
      <c r="AP4" s="24">
        <v>15.179</v>
      </c>
      <c r="AQ4" s="26">
        <f t="shared" si="9"/>
        <v>14.683143278558985</v>
      </c>
      <c r="AR4" s="24"/>
      <c r="AS4" s="24">
        <f>AP4*AA4</f>
        <v>13.662030078570377</v>
      </c>
      <c r="AT4" s="25">
        <f t="shared" si="10"/>
        <v>28.345173357129362</v>
      </c>
      <c r="AU4" s="66">
        <f t="shared" si="11"/>
        <v>0.10419334136069666</v>
      </c>
      <c r="AV4" s="6">
        <v>0</v>
      </c>
      <c r="AW4" s="6">
        <v>0</v>
      </c>
      <c r="AY4" s="2">
        <f t="shared" si="12"/>
        <v>14.683143278558985</v>
      </c>
      <c r="AZ4" s="26">
        <f t="shared" si="13"/>
        <v>28.345173357129362</v>
      </c>
      <c r="BA4" s="38">
        <f t="shared" si="14"/>
        <v>0.10419334136069666</v>
      </c>
    </row>
    <row r="5" spans="1:53" x14ac:dyDescent="0.2">
      <c r="A5" s="2" t="s">
        <v>28</v>
      </c>
      <c r="B5" s="2"/>
      <c r="C5" s="2"/>
      <c r="D5" s="2"/>
      <c r="E5" s="6" t="s">
        <v>502</v>
      </c>
      <c r="F5" s="6">
        <v>1</v>
      </c>
      <c r="G5" s="6">
        <v>0</v>
      </c>
      <c r="H5" s="6">
        <v>0</v>
      </c>
      <c r="I5" s="6">
        <v>0</v>
      </c>
      <c r="J5" s="25">
        <v>106.99406</v>
      </c>
      <c r="K5" s="25">
        <v>106.99406</v>
      </c>
      <c r="L5" s="25">
        <f t="shared" si="0"/>
        <v>105.48602</v>
      </c>
      <c r="M5" s="24">
        <f t="shared" si="1"/>
        <v>105.48602</v>
      </c>
      <c r="N5" s="24"/>
      <c r="O5" s="24"/>
      <c r="P5" s="24"/>
      <c r="Q5" s="24"/>
      <c r="R5" s="26">
        <v>88</v>
      </c>
      <c r="S5" s="26">
        <v>8</v>
      </c>
      <c r="T5" s="26"/>
      <c r="U5" s="26">
        <v>9.4860199999999999</v>
      </c>
      <c r="V5" s="26"/>
      <c r="W5" s="26">
        <v>87.751999999999995</v>
      </c>
      <c r="X5" s="26">
        <v>6.8719999999999999</v>
      </c>
      <c r="Y5" s="25"/>
      <c r="Z5" s="31">
        <f t="shared" si="2"/>
        <v>1</v>
      </c>
      <c r="AA5" s="31">
        <f t="shared" si="3"/>
        <v>0.98590538577562148</v>
      </c>
      <c r="AB5" s="31">
        <f t="shared" si="4"/>
        <v>0.98590538577562148</v>
      </c>
      <c r="AC5" s="41">
        <v>19</v>
      </c>
      <c r="AD5" s="25">
        <v>14</v>
      </c>
      <c r="AE5" s="25">
        <f t="shared" si="5"/>
        <v>14</v>
      </c>
      <c r="AF5" s="25">
        <f t="shared" si="6"/>
        <v>13.8026754008587</v>
      </c>
      <c r="AG5" s="25">
        <f>4.4/14</f>
        <v>0.31428571428571433</v>
      </c>
      <c r="AH5" s="24">
        <v>6.6645500000000002</v>
      </c>
      <c r="AI5" s="24">
        <v>3.9472019999999999</v>
      </c>
      <c r="AJ5" s="34">
        <v>2</v>
      </c>
      <c r="AK5" s="34"/>
      <c r="AL5" s="34"/>
      <c r="AM5" s="26">
        <f t="shared" si="7"/>
        <v>10.611751999999999</v>
      </c>
      <c r="AN5" s="26">
        <f t="shared" si="8"/>
        <v>10.462183449315221</v>
      </c>
      <c r="AO5" s="26"/>
      <c r="AP5" s="26">
        <v>5.0867139999999997</v>
      </c>
      <c r="AQ5" s="26">
        <f t="shared" si="9"/>
        <v>6.4501684665150183</v>
      </c>
      <c r="AR5" s="26"/>
      <c r="AS5" s="26">
        <f>AP5*AA5</f>
        <v>5.0150187285002543</v>
      </c>
      <c r="AT5" s="25">
        <f t="shared" si="10"/>
        <v>11.465187195015272</v>
      </c>
      <c r="AU5" s="66">
        <f t="shared" si="11"/>
        <v>0.10868916274417474</v>
      </c>
      <c r="AV5" s="6">
        <v>0</v>
      </c>
      <c r="AW5" s="6">
        <v>0</v>
      </c>
      <c r="AY5" s="2">
        <f t="shared" si="12"/>
        <v>6.4501684665150183</v>
      </c>
      <c r="AZ5" s="26">
        <f t="shared" si="13"/>
        <v>11.465187195015272</v>
      </c>
      <c r="BA5" s="38">
        <f t="shared" si="14"/>
        <v>0.10868916274417474</v>
      </c>
    </row>
    <row r="6" spans="1:53" x14ac:dyDescent="0.2">
      <c r="A6" s="2" t="s">
        <v>26</v>
      </c>
      <c r="B6" s="2"/>
      <c r="C6" s="2"/>
      <c r="D6" s="2"/>
      <c r="E6" s="6" t="s">
        <v>502</v>
      </c>
      <c r="F6" s="6">
        <v>1</v>
      </c>
      <c r="G6" s="6">
        <v>0</v>
      </c>
      <c r="H6" s="6">
        <v>0</v>
      </c>
      <c r="I6" s="6">
        <v>0</v>
      </c>
      <c r="J6" s="25">
        <v>34.204999999999998</v>
      </c>
      <c r="K6" s="25">
        <v>34.204999999999998</v>
      </c>
      <c r="L6" s="25">
        <f t="shared" si="0"/>
        <v>33.215000000000003</v>
      </c>
      <c r="M6" s="24">
        <f t="shared" si="1"/>
        <v>33.215000000000003</v>
      </c>
      <c r="N6" s="24"/>
      <c r="O6" s="24"/>
      <c r="P6" s="24"/>
      <c r="Q6" s="24"/>
      <c r="R6" s="26">
        <f>33.215-S6</f>
        <v>32.090000000000003</v>
      </c>
      <c r="S6" s="26">
        <v>1.125</v>
      </c>
      <c r="T6" s="26"/>
      <c r="U6" s="26"/>
      <c r="V6" s="26"/>
      <c r="W6" s="26">
        <v>30.3</v>
      </c>
      <c r="X6" s="26">
        <v>0.60799999999999998</v>
      </c>
      <c r="Y6" s="25">
        <v>2.2000000000000002</v>
      </c>
      <c r="Z6" s="31">
        <f t="shared" si="2"/>
        <v>1</v>
      </c>
      <c r="AA6" s="31">
        <f t="shared" si="3"/>
        <v>0.96906733322918326</v>
      </c>
      <c r="AB6" s="31">
        <f t="shared" si="4"/>
        <v>0.96906733322918326</v>
      </c>
      <c r="AC6" s="41">
        <v>20</v>
      </c>
      <c r="AD6" s="25">
        <v>11</v>
      </c>
      <c r="AE6" s="25">
        <f t="shared" si="5"/>
        <v>11</v>
      </c>
      <c r="AF6" s="25">
        <f t="shared" si="6"/>
        <v>10.659740665521015</v>
      </c>
      <c r="AG6" s="25">
        <f>2/9</f>
        <v>0.22222222222222221</v>
      </c>
      <c r="AH6" s="24">
        <v>3.9809999999999999</v>
      </c>
      <c r="AI6" s="24">
        <f>1.242+0.102+0.47+0.468</f>
        <v>2.282</v>
      </c>
      <c r="AJ6" s="34">
        <v>30</v>
      </c>
      <c r="AK6" s="34"/>
      <c r="AL6" s="34"/>
      <c r="AM6" s="26">
        <f t="shared" si="7"/>
        <v>6.2629999999999999</v>
      </c>
      <c r="AN6" s="26">
        <f t="shared" si="8"/>
        <v>6.0692687080143743</v>
      </c>
      <c r="AO6" s="26"/>
      <c r="AP6" s="26">
        <f>13.49-(6.395-2.085)</f>
        <v>9.18</v>
      </c>
      <c r="AQ6" s="26">
        <f t="shared" si="9"/>
        <v>0</v>
      </c>
      <c r="AR6" s="26"/>
      <c r="AS6" s="26">
        <f>AP6*AA6</f>
        <v>8.8960381190439026</v>
      </c>
      <c r="AT6" s="25">
        <f t="shared" si="10"/>
        <v>8.8960381190439026</v>
      </c>
      <c r="AU6" s="66">
        <f t="shared" si="11"/>
        <v>0.26783194698310708</v>
      </c>
      <c r="AV6" s="6">
        <v>0</v>
      </c>
      <c r="AW6" s="6">
        <v>0</v>
      </c>
      <c r="AY6" s="2">
        <f t="shared" si="12"/>
        <v>0</v>
      </c>
      <c r="AZ6" s="26">
        <f t="shared" si="13"/>
        <v>8.8960381190439026</v>
      </c>
      <c r="BA6" s="38">
        <f t="shared" si="14"/>
        <v>0.26783194698310708</v>
      </c>
    </row>
    <row r="7" spans="1:53" x14ac:dyDescent="0.2">
      <c r="A7" s="2" t="s">
        <v>29</v>
      </c>
      <c r="B7" s="2"/>
      <c r="C7" s="2"/>
      <c r="D7" s="2"/>
      <c r="E7" s="6" t="s">
        <v>502</v>
      </c>
      <c r="F7" s="6">
        <v>1</v>
      </c>
      <c r="G7" s="6">
        <v>0</v>
      </c>
      <c r="H7" s="6">
        <v>0</v>
      </c>
      <c r="I7" s="6">
        <v>1</v>
      </c>
      <c r="J7" s="25">
        <v>143.163273</v>
      </c>
      <c r="K7" s="25">
        <v>143.163273</v>
      </c>
      <c r="L7" s="25">
        <f t="shared" si="0"/>
        <v>131.91781800000001</v>
      </c>
      <c r="M7" s="24">
        <f t="shared" si="1"/>
        <v>131.91781800000001</v>
      </c>
      <c r="N7" s="24"/>
      <c r="O7" s="24"/>
      <c r="P7" s="24"/>
      <c r="Q7" s="24"/>
      <c r="R7" s="26"/>
      <c r="S7" s="26"/>
      <c r="T7" s="26"/>
      <c r="U7" s="26"/>
      <c r="V7" s="26">
        <f>131.917818</f>
        <v>131.91781800000001</v>
      </c>
      <c r="W7" s="26">
        <v>55.707000000000001</v>
      </c>
      <c r="X7" s="26">
        <v>2.35</v>
      </c>
      <c r="Y7" s="25"/>
      <c r="Z7" s="31">
        <f t="shared" si="2"/>
        <v>1</v>
      </c>
      <c r="AA7" s="31">
        <f t="shared" si="3"/>
        <v>0.92145014035827477</v>
      </c>
      <c r="AB7" s="31">
        <f t="shared" si="4"/>
        <v>0.92145014035827477</v>
      </c>
      <c r="AC7" s="41">
        <v>38.5</v>
      </c>
      <c r="AD7" s="25">
        <v>32.700000000000003</v>
      </c>
      <c r="AE7" s="25">
        <f t="shared" si="5"/>
        <v>32.700000000000003</v>
      </c>
      <c r="AF7" s="25">
        <f t="shared" si="6"/>
        <v>30.131419589715588</v>
      </c>
      <c r="AG7" s="25">
        <f>9/32.7</f>
        <v>0.2752293577981651</v>
      </c>
      <c r="AH7" s="24">
        <v>14.128344</v>
      </c>
      <c r="AI7" s="24">
        <v>4.3120039999999999</v>
      </c>
      <c r="AJ7" s="34">
        <v>26</v>
      </c>
      <c r="AK7" s="34"/>
      <c r="AL7" s="34"/>
      <c r="AM7" s="26">
        <f t="shared" si="7"/>
        <v>18.440348</v>
      </c>
      <c r="AN7" s="26">
        <f t="shared" si="8"/>
        <v>16.991861252855433</v>
      </c>
      <c r="AO7" s="26"/>
      <c r="AP7" s="26"/>
      <c r="AQ7" s="26">
        <f t="shared" si="9"/>
        <v>16.991861252855433</v>
      </c>
      <c r="AR7" s="26"/>
      <c r="AS7" s="26">
        <v>7.2601019999999998</v>
      </c>
      <c r="AT7" s="25">
        <f t="shared" si="10"/>
        <v>24.251963252855433</v>
      </c>
      <c r="AU7" s="66">
        <f t="shared" si="11"/>
        <v>0.18384145235676527</v>
      </c>
      <c r="AV7" s="6">
        <v>0</v>
      </c>
      <c r="AW7" s="6">
        <v>0</v>
      </c>
      <c r="AY7" s="2">
        <f t="shared" si="12"/>
        <v>16.991861252855433</v>
      </c>
      <c r="AZ7" s="26">
        <f t="shared" si="13"/>
        <v>24.251963252855433</v>
      </c>
      <c r="BA7" s="38">
        <f t="shared" si="14"/>
        <v>0.18384145235676527</v>
      </c>
    </row>
    <row r="8" spans="1:53" x14ac:dyDescent="0.2">
      <c r="A8" s="2" t="s">
        <v>31</v>
      </c>
      <c r="B8" s="2"/>
      <c r="C8" s="2"/>
      <c r="D8" s="2"/>
      <c r="E8" s="6" t="s">
        <v>502</v>
      </c>
      <c r="F8" s="6">
        <v>1</v>
      </c>
      <c r="G8" s="6">
        <v>1</v>
      </c>
      <c r="H8" s="6">
        <v>0</v>
      </c>
      <c r="I8" s="6">
        <v>0</v>
      </c>
      <c r="J8" s="25">
        <v>302.40591799999999</v>
      </c>
      <c r="K8" s="25">
        <v>302.40591799999999</v>
      </c>
      <c r="L8" s="25">
        <f t="shared" si="0"/>
        <v>117.9</v>
      </c>
      <c r="M8" s="24">
        <f t="shared" si="1"/>
        <v>117.9</v>
      </c>
      <c r="N8" s="24"/>
      <c r="O8" s="24"/>
      <c r="P8" s="24"/>
      <c r="Q8" s="24"/>
      <c r="R8" s="26">
        <v>86.9</v>
      </c>
      <c r="S8" s="26">
        <v>1</v>
      </c>
      <c r="T8" s="26"/>
      <c r="U8" s="26">
        <v>30</v>
      </c>
      <c r="V8" s="26"/>
      <c r="W8" s="26">
        <v>77.915999999999997</v>
      </c>
      <c r="X8" s="26">
        <v>1.159</v>
      </c>
      <c r="Y8" s="25"/>
      <c r="Z8" s="31">
        <f t="shared" si="2"/>
        <v>1</v>
      </c>
      <c r="AA8" s="31">
        <f t="shared" si="3"/>
        <v>0.38987332251877427</v>
      </c>
      <c r="AB8" s="31">
        <f t="shared" si="4"/>
        <v>0.38987332251877427</v>
      </c>
      <c r="AC8" s="41">
        <v>61</v>
      </c>
      <c r="AD8" s="25">
        <v>61</v>
      </c>
      <c r="AE8" s="25">
        <f t="shared" si="5"/>
        <v>61</v>
      </c>
      <c r="AF8" s="25">
        <f t="shared" si="6"/>
        <v>23.782272673645231</v>
      </c>
      <c r="AG8" s="25">
        <v>0.28000000000000003</v>
      </c>
      <c r="AH8" s="24">
        <v>24.857631999999999</v>
      </c>
      <c r="AI8" s="24">
        <v>10.155257000000001</v>
      </c>
      <c r="AJ8" s="34"/>
      <c r="AK8" s="34">
        <v>200</v>
      </c>
      <c r="AL8" s="34"/>
      <c r="AM8" s="26">
        <f t="shared" si="7"/>
        <v>35.012889000000001</v>
      </c>
      <c r="AN8" s="26">
        <f t="shared" si="8"/>
        <v>13.650591365411046</v>
      </c>
      <c r="AO8" s="26"/>
      <c r="AP8" s="26">
        <v>16.789995999999999</v>
      </c>
      <c r="AQ8" s="26">
        <f t="shared" si="9"/>
        <v>8.4138141449335002</v>
      </c>
      <c r="AR8" s="26"/>
      <c r="AS8" s="26">
        <f>AP8*AA8</f>
        <v>6.5459715255969293</v>
      </c>
      <c r="AT8" s="25">
        <f t="shared" si="10"/>
        <v>14.95978567053043</v>
      </c>
      <c r="AU8" s="66">
        <f t="shared" si="11"/>
        <v>0.126885374644024</v>
      </c>
      <c r="AV8" s="6">
        <v>0</v>
      </c>
      <c r="AW8" s="6">
        <v>0</v>
      </c>
      <c r="AY8" s="2">
        <f t="shared" si="12"/>
        <v>8.4138141449335002</v>
      </c>
      <c r="AZ8" s="26">
        <f t="shared" si="13"/>
        <v>14.95978567053043</v>
      </c>
      <c r="BA8" s="38">
        <f t="shared" si="14"/>
        <v>0.126885374644024</v>
      </c>
    </row>
    <row r="9" spans="1:53" x14ac:dyDescent="0.2">
      <c r="A9" s="2" t="s">
        <v>27</v>
      </c>
      <c r="B9" s="2"/>
      <c r="C9" s="2"/>
      <c r="D9" s="2"/>
      <c r="E9" s="6" t="s">
        <v>502</v>
      </c>
      <c r="F9" s="6">
        <v>1</v>
      </c>
      <c r="G9" s="6">
        <v>1</v>
      </c>
      <c r="H9" s="6">
        <v>0</v>
      </c>
      <c r="I9" s="6">
        <v>0</v>
      </c>
      <c r="J9" s="25">
        <v>225.494</v>
      </c>
      <c r="K9" s="25">
        <v>174.2</v>
      </c>
      <c r="L9" s="25">
        <f t="shared" si="0"/>
        <v>80.100000000000009</v>
      </c>
      <c r="M9" s="24">
        <f t="shared" si="1"/>
        <v>80.100000000000009</v>
      </c>
      <c r="N9" s="24"/>
      <c r="O9" s="24"/>
      <c r="P9" s="24"/>
      <c r="Q9" s="24"/>
      <c r="R9" s="26">
        <v>78.2</v>
      </c>
      <c r="S9" s="26">
        <v>1.9</v>
      </c>
      <c r="T9" s="26"/>
      <c r="U9" s="26"/>
      <c r="V9" s="26"/>
      <c r="W9" s="26">
        <v>69.272999999999996</v>
      </c>
      <c r="X9" s="26">
        <v>1.9</v>
      </c>
      <c r="Y9" s="25"/>
      <c r="Z9" s="31">
        <f t="shared" si="2"/>
        <v>0.77252609825538587</v>
      </c>
      <c r="AA9" s="31">
        <f t="shared" si="3"/>
        <v>0.35522009454797027</v>
      </c>
      <c r="AB9" s="31">
        <f t="shared" si="4"/>
        <v>0.4598163030998853</v>
      </c>
      <c r="AC9" s="41">
        <v>128</v>
      </c>
      <c r="AD9" s="25">
        <v>128</v>
      </c>
      <c r="AE9" s="25">
        <f t="shared" si="5"/>
        <v>98.883340576689392</v>
      </c>
      <c r="AF9" s="25">
        <f t="shared" si="6"/>
        <v>45.468172102140194</v>
      </c>
      <c r="AG9" s="25">
        <f>62/128</f>
        <v>0.484375</v>
      </c>
      <c r="AH9" s="24">
        <v>40.14</v>
      </c>
      <c r="AI9" s="24">
        <v>16.768999999999998</v>
      </c>
      <c r="AJ9" s="34"/>
      <c r="AK9" s="34"/>
      <c r="AL9" s="34">
        <v>83000</v>
      </c>
      <c r="AM9" s="26">
        <f t="shared" si="7"/>
        <v>56.908999999999999</v>
      </c>
      <c r="AN9" s="26">
        <f t="shared" si="8"/>
        <v>20.21522036063044</v>
      </c>
      <c r="AO9" s="26"/>
      <c r="AP9" s="26">
        <v>17.687000000000001</v>
      </c>
      <c r="AQ9" s="26">
        <f t="shared" si="9"/>
        <v>15.188998110814479</v>
      </c>
      <c r="AR9" s="26"/>
      <c r="AS9" s="26">
        <f>AP9*AA9</f>
        <v>6.2827778122699502</v>
      </c>
      <c r="AT9" s="25">
        <f t="shared" si="10"/>
        <v>21.471775923084429</v>
      </c>
      <c r="AU9" s="66">
        <f t="shared" si="11"/>
        <v>0.26806212138682184</v>
      </c>
      <c r="AV9" s="6">
        <v>1</v>
      </c>
      <c r="AW9" s="6">
        <v>1</v>
      </c>
      <c r="AY9" s="2">
        <f t="shared" si="12"/>
        <v>15.188998110814479</v>
      </c>
      <c r="AZ9" s="26">
        <f t="shared" si="13"/>
        <v>21.471775923084429</v>
      </c>
      <c r="BA9" s="38">
        <f t="shared" si="14"/>
        <v>0.26806212138682184</v>
      </c>
    </row>
    <row r="10" spans="1:53" x14ac:dyDescent="0.2">
      <c r="A10" s="2" t="s">
        <v>37</v>
      </c>
      <c r="B10" s="2"/>
      <c r="C10" s="2"/>
      <c r="D10" s="2"/>
      <c r="E10" s="6" t="s">
        <v>502</v>
      </c>
      <c r="F10" s="6">
        <v>1</v>
      </c>
      <c r="G10" s="6">
        <v>1</v>
      </c>
      <c r="H10" s="6">
        <v>0</v>
      </c>
      <c r="I10" s="6">
        <v>0</v>
      </c>
      <c r="J10" s="25">
        <v>64.861999999999995</v>
      </c>
      <c r="K10" s="25">
        <f>L10</f>
        <v>36.597000000000001</v>
      </c>
      <c r="L10" s="25">
        <f t="shared" si="0"/>
        <v>36.597000000000001</v>
      </c>
      <c r="M10" s="24">
        <f t="shared" si="1"/>
        <v>36.597000000000001</v>
      </c>
      <c r="N10" s="24"/>
      <c r="O10" s="24"/>
      <c r="P10" s="24"/>
      <c r="Q10" s="24"/>
      <c r="R10" s="26"/>
      <c r="S10" s="26"/>
      <c r="T10" s="26"/>
      <c r="U10" s="26"/>
      <c r="V10" s="26">
        <v>36.597000000000001</v>
      </c>
      <c r="W10" s="26">
        <v>27.334</v>
      </c>
      <c r="X10" s="26">
        <v>0.69</v>
      </c>
      <c r="Y10" s="25"/>
      <c r="Z10" s="31">
        <f t="shared" si="2"/>
        <v>0.5642286700995961</v>
      </c>
      <c r="AA10" s="31">
        <f t="shared" si="3"/>
        <v>0.5642286700995961</v>
      </c>
      <c r="AB10" s="31">
        <f t="shared" si="4"/>
        <v>1</v>
      </c>
      <c r="AC10" s="41">
        <v>54</v>
      </c>
      <c r="AD10" s="25">
        <v>54</v>
      </c>
      <c r="AE10" s="25">
        <f t="shared" si="5"/>
        <v>30.46834818537819</v>
      </c>
      <c r="AF10" s="25">
        <f t="shared" si="6"/>
        <v>30.46834818537819</v>
      </c>
      <c r="AG10" s="25">
        <f>14/54</f>
        <v>0.25925925925925924</v>
      </c>
      <c r="AH10" s="24">
        <v>25.04</v>
      </c>
      <c r="AI10" s="24">
        <f>8.493+0.211+2.825</f>
        <v>11.529</v>
      </c>
      <c r="AJ10" s="34">
        <v>19</v>
      </c>
      <c r="AK10" s="34"/>
      <c r="AL10" s="34">
        <v>3529</v>
      </c>
      <c r="AM10" s="26">
        <f t="shared" si="7"/>
        <v>36.569000000000003</v>
      </c>
      <c r="AN10" s="26">
        <f t="shared" si="8"/>
        <v>20.633278236872133</v>
      </c>
      <c r="AO10" s="26"/>
      <c r="AP10" s="26">
        <v>17.228999999999999</v>
      </c>
      <c r="AQ10" s="26">
        <f t="shared" si="9"/>
        <v>12.856401631155379</v>
      </c>
      <c r="AR10" s="26"/>
      <c r="AS10" s="26">
        <f>AP10*AA10</f>
        <v>9.7210957571459407</v>
      </c>
      <c r="AT10" s="25">
        <f t="shared" si="10"/>
        <v>22.577497388301317</v>
      </c>
      <c r="AU10" s="66">
        <f t="shared" si="11"/>
        <v>0.61692208072523202</v>
      </c>
      <c r="AV10" s="6">
        <v>1</v>
      </c>
      <c r="AW10" s="6">
        <v>1</v>
      </c>
      <c r="AY10" s="2">
        <f t="shared" si="12"/>
        <v>12.856401631155379</v>
      </c>
      <c r="AZ10" s="26">
        <f t="shared" si="13"/>
        <v>22.577497388301317</v>
      </c>
      <c r="BA10" s="38">
        <f t="shared" si="14"/>
        <v>0.61692208072523202</v>
      </c>
    </row>
    <row r="11" spans="1:53" x14ac:dyDescent="0.2">
      <c r="A11" s="2" t="s">
        <v>5</v>
      </c>
      <c r="B11" s="2"/>
      <c r="C11" s="2"/>
      <c r="D11" s="2"/>
      <c r="E11" s="6" t="s">
        <v>502</v>
      </c>
      <c r="F11" s="2">
        <v>1</v>
      </c>
      <c r="G11" s="2">
        <v>0</v>
      </c>
      <c r="H11" s="2">
        <v>0</v>
      </c>
      <c r="I11" s="2">
        <v>0</v>
      </c>
      <c r="J11" s="25">
        <v>1001.65</v>
      </c>
      <c r="K11" s="25">
        <f>L11</f>
        <v>312.19799999999998</v>
      </c>
      <c r="L11" s="25">
        <f t="shared" si="0"/>
        <v>312.19799999999998</v>
      </c>
      <c r="M11" s="26">
        <f t="shared" si="1"/>
        <v>312.19799999999998</v>
      </c>
      <c r="N11" s="26"/>
      <c r="O11" s="26"/>
      <c r="P11" s="26"/>
      <c r="Q11" s="26"/>
      <c r="R11" s="26"/>
      <c r="S11" s="26"/>
      <c r="T11" s="26"/>
      <c r="U11" s="26"/>
      <c r="V11" s="26">
        <v>312.19799999999998</v>
      </c>
      <c r="W11" s="26">
        <v>163.345</v>
      </c>
      <c r="X11" s="26">
        <v>1.238</v>
      </c>
      <c r="Y11" s="25"/>
      <c r="Z11" s="31">
        <f t="shared" si="2"/>
        <v>0.31168372185893273</v>
      </c>
      <c r="AA11" s="31">
        <f t="shared" si="3"/>
        <v>0.31168372185893273</v>
      </c>
      <c r="AB11" s="31">
        <f t="shared" si="4"/>
        <v>1</v>
      </c>
      <c r="AC11" s="41">
        <v>705</v>
      </c>
      <c r="AD11" s="25">
        <v>248</v>
      </c>
      <c r="AE11" s="25">
        <f t="shared" si="5"/>
        <v>77.297563021015321</v>
      </c>
      <c r="AF11" s="25">
        <f t="shared" si="6"/>
        <v>77.297563021015321</v>
      </c>
      <c r="AG11" s="25"/>
      <c r="AH11" s="26">
        <v>103.06</v>
      </c>
      <c r="AI11" s="26">
        <v>53.95</v>
      </c>
      <c r="AJ11" s="35"/>
      <c r="AK11" s="35"/>
      <c r="AL11" s="35">
        <v>75851</v>
      </c>
      <c r="AM11" s="26">
        <f t="shared" si="7"/>
        <v>157.01</v>
      </c>
      <c r="AN11" s="26">
        <f t="shared" si="8"/>
        <v>48.937461169071028</v>
      </c>
      <c r="AO11" s="26"/>
      <c r="AP11" s="26">
        <v>40.762</v>
      </c>
      <c r="AQ11" s="26">
        <f t="shared" si="9"/>
        <v>38.77357967273997</v>
      </c>
      <c r="AR11" s="26"/>
      <c r="AS11" s="26">
        <f>AP11*AA11</f>
        <v>12.704851870413815</v>
      </c>
      <c r="AT11" s="25">
        <f t="shared" si="10"/>
        <v>51.478431543153789</v>
      </c>
      <c r="AU11" s="66">
        <f t="shared" si="11"/>
        <v>0.16489033095392602</v>
      </c>
      <c r="AV11" s="2">
        <v>0</v>
      </c>
      <c r="AW11" s="2">
        <v>0</v>
      </c>
      <c r="AX11" s="2"/>
      <c r="AY11" s="2">
        <f t="shared" si="12"/>
        <v>38.77357967273997</v>
      </c>
      <c r="AZ11" s="26">
        <f t="shared" si="13"/>
        <v>51.478431543153789</v>
      </c>
      <c r="BA11" s="38">
        <f t="shared" si="14"/>
        <v>0.16489033095392602</v>
      </c>
    </row>
    <row r="12" spans="1:53" x14ac:dyDescent="0.2">
      <c r="A12" s="2" t="s">
        <v>149</v>
      </c>
      <c r="B12" s="2"/>
      <c r="C12" s="2"/>
      <c r="D12" s="2"/>
      <c r="E12" s="6" t="s">
        <v>502</v>
      </c>
      <c r="F12" s="6">
        <v>1</v>
      </c>
      <c r="G12" s="6">
        <v>0</v>
      </c>
      <c r="H12" s="6">
        <v>1</v>
      </c>
      <c r="I12" s="6">
        <v>0</v>
      </c>
      <c r="J12" s="25">
        <v>3200.2379999999998</v>
      </c>
      <c r="K12" s="25">
        <f>192+158+70+14</f>
        <v>434</v>
      </c>
      <c r="L12" s="25">
        <f t="shared" si="0"/>
        <v>172.75400000000002</v>
      </c>
      <c r="M12" s="24">
        <f t="shared" si="1"/>
        <v>172.75400000000002</v>
      </c>
      <c r="N12" s="24"/>
      <c r="O12" s="24"/>
      <c r="P12" s="24"/>
      <c r="Q12" s="24"/>
      <c r="R12" s="26">
        <f>123.864+12.047</f>
        <v>135.911</v>
      </c>
      <c r="S12" s="26">
        <v>2.8519999999999999</v>
      </c>
      <c r="T12" s="26"/>
      <c r="U12" s="26">
        <f>33.287+0.704</f>
        <v>33.991</v>
      </c>
      <c r="V12" s="26"/>
      <c r="W12" s="26">
        <v>122.66500000000001</v>
      </c>
      <c r="X12" s="26">
        <v>3</v>
      </c>
      <c r="Y12" s="25"/>
      <c r="Z12" s="31">
        <f t="shared" si="2"/>
        <v>0.13561491364079797</v>
      </c>
      <c r="AA12" s="31">
        <f t="shared" si="3"/>
        <v>5.3981610117747499E-2</v>
      </c>
      <c r="AB12" s="31">
        <f t="shared" si="4"/>
        <v>0.39805069124423964</v>
      </c>
      <c r="AC12" s="41">
        <v>431</v>
      </c>
      <c r="AD12" s="25">
        <v>334</v>
      </c>
      <c r="AE12" s="25">
        <f t="shared" si="5"/>
        <v>45.295381156026522</v>
      </c>
      <c r="AF12" s="25">
        <f t="shared" si="6"/>
        <v>18.029857779327664</v>
      </c>
      <c r="AG12" s="25">
        <f>118/AD12</f>
        <v>0.3532934131736527</v>
      </c>
      <c r="AH12" s="24">
        <v>195.29400000000001</v>
      </c>
      <c r="AI12" s="24">
        <v>91.751000000000005</v>
      </c>
      <c r="AJ12" s="34"/>
      <c r="AK12" s="34"/>
      <c r="AL12" s="34">
        <v>6400000</v>
      </c>
      <c r="AM12" s="26">
        <f t="shared" si="7"/>
        <v>287.04500000000002</v>
      </c>
      <c r="AN12" s="26">
        <f t="shared" si="8"/>
        <v>15.49515127624883</v>
      </c>
      <c r="AO12" s="24"/>
      <c r="AP12" s="24"/>
      <c r="AQ12" s="26">
        <f t="shared" si="9"/>
        <v>15.495151276248832</v>
      </c>
      <c r="AR12" s="24"/>
      <c r="AS12" s="24"/>
      <c r="AT12" s="25">
        <f t="shared" si="10"/>
        <v>15.495151276248832</v>
      </c>
      <c r="AU12" s="66">
        <f t="shared" si="11"/>
        <v>8.9694891442448979E-2</v>
      </c>
      <c r="AV12" s="6">
        <v>0</v>
      </c>
      <c r="AW12" s="6">
        <v>0</v>
      </c>
      <c r="AY12" s="2">
        <f t="shared" si="12"/>
        <v>15.495151276248832</v>
      </c>
      <c r="AZ12" s="26">
        <f t="shared" si="13"/>
        <v>15.495151276248832</v>
      </c>
      <c r="BA12" s="38">
        <f t="shared" si="14"/>
        <v>8.9694891442448979E-2</v>
      </c>
    </row>
    <row r="13" spans="1:53" x14ac:dyDescent="0.2">
      <c r="A13" s="2" t="s">
        <v>25</v>
      </c>
      <c r="B13" s="2"/>
      <c r="C13" s="2"/>
      <c r="D13" s="2"/>
      <c r="E13" s="6" t="s">
        <v>502</v>
      </c>
      <c r="F13" s="6">
        <v>1</v>
      </c>
      <c r="G13" s="6">
        <v>0</v>
      </c>
      <c r="H13" s="6">
        <v>0</v>
      </c>
      <c r="I13" s="6">
        <v>0</v>
      </c>
      <c r="J13" s="25">
        <v>144.23400000000001</v>
      </c>
      <c r="K13" s="25">
        <v>144.23400000000001</v>
      </c>
      <c r="L13" s="25">
        <f t="shared" si="0"/>
        <v>141.875</v>
      </c>
      <c r="M13" s="24">
        <f t="shared" si="1"/>
        <v>141.875</v>
      </c>
      <c r="N13" s="24"/>
      <c r="O13" s="24"/>
      <c r="P13" s="24"/>
      <c r="Q13" s="24"/>
      <c r="R13" s="26"/>
      <c r="S13" s="26"/>
      <c r="T13" s="26"/>
      <c r="U13" s="26"/>
      <c r="V13" s="26">
        <f>141.875</f>
        <v>141.875</v>
      </c>
      <c r="W13" s="26">
        <v>125.53100000000001</v>
      </c>
      <c r="X13" s="26">
        <v>3.9609999999999999</v>
      </c>
      <c r="Y13" s="25">
        <v>130.01599999999999</v>
      </c>
      <c r="Z13" s="31">
        <f t="shared" si="2"/>
        <v>1</v>
      </c>
      <c r="AA13" s="31">
        <f t="shared" si="3"/>
        <v>0.83408355605570361</v>
      </c>
      <c r="AB13" s="31">
        <f t="shared" si="4"/>
        <v>0.83408355605570361</v>
      </c>
      <c r="AC13" s="41">
        <v>18</v>
      </c>
      <c r="AD13" s="25">
        <v>18</v>
      </c>
      <c r="AE13" s="25">
        <f t="shared" si="5"/>
        <v>18</v>
      </c>
      <c r="AF13" s="25">
        <f t="shared" si="6"/>
        <v>15.013504009002665</v>
      </c>
      <c r="AG13" s="25">
        <v>0.5</v>
      </c>
      <c r="AH13" s="24">
        <v>6.8360000000000003</v>
      </c>
      <c r="AI13" s="24">
        <v>2.806</v>
      </c>
      <c r="AJ13" s="34">
        <v>34</v>
      </c>
      <c r="AK13" s="34"/>
      <c r="AL13" s="34"/>
      <c r="AM13" s="26">
        <f t="shared" si="7"/>
        <v>9.6419999999999995</v>
      </c>
      <c r="AN13" s="26">
        <f t="shared" si="8"/>
        <v>8.042233647489093</v>
      </c>
      <c r="AO13" s="26">
        <v>3.8439999999999999</v>
      </c>
      <c r="AP13" s="26"/>
      <c r="AQ13" s="26">
        <f t="shared" si="9"/>
        <v>0</v>
      </c>
      <c r="AR13" s="26">
        <f>AO13*AA13</f>
        <v>3.2062171894781244</v>
      </c>
      <c r="AS13" s="26">
        <v>15.731999999999999</v>
      </c>
      <c r="AT13" s="25">
        <f t="shared" si="10"/>
        <v>18.938217189478124</v>
      </c>
      <c r="AU13" s="66">
        <f t="shared" si="11"/>
        <v>0.13348523129147577</v>
      </c>
      <c r="AV13" s="6">
        <v>0</v>
      </c>
      <c r="AW13" s="6">
        <v>0</v>
      </c>
      <c r="AY13" s="2">
        <f t="shared" si="12"/>
        <v>8.042233647489093</v>
      </c>
      <c r="AZ13" s="26">
        <f t="shared" si="13"/>
        <v>23.774233647489091</v>
      </c>
      <c r="BA13" s="38">
        <f t="shared" si="14"/>
        <v>0.16757169090741209</v>
      </c>
    </row>
    <row r="14" spans="1:53" x14ac:dyDescent="0.2">
      <c r="A14" s="2" t="s">
        <v>35</v>
      </c>
      <c r="B14" s="2"/>
      <c r="C14" s="2"/>
      <c r="D14" s="2"/>
      <c r="E14" s="6" t="s">
        <v>502</v>
      </c>
      <c r="F14" s="6">
        <v>1</v>
      </c>
      <c r="G14" s="6">
        <v>0</v>
      </c>
      <c r="H14" s="6">
        <v>0</v>
      </c>
      <c r="I14" s="6">
        <v>0</v>
      </c>
      <c r="J14" s="25">
        <v>186.44800000000001</v>
      </c>
      <c r="K14" s="25">
        <f>59.457+0.621+4.231</f>
        <v>64.308999999999997</v>
      </c>
      <c r="L14" s="25">
        <f t="shared" si="0"/>
        <v>59.369</v>
      </c>
      <c r="M14" s="24">
        <f t="shared" si="1"/>
        <v>59.369</v>
      </c>
      <c r="N14" s="24"/>
      <c r="O14" s="24"/>
      <c r="P14" s="24"/>
      <c r="Q14" s="24"/>
      <c r="R14" s="26"/>
      <c r="S14" s="26"/>
      <c r="T14" s="26"/>
      <c r="U14" s="26"/>
      <c r="V14" s="26">
        <f>59.369</f>
        <v>59.369</v>
      </c>
      <c r="W14" s="26">
        <v>53.837000000000003</v>
      </c>
      <c r="X14" s="26">
        <v>2.3839999999999999</v>
      </c>
      <c r="Y14" s="25"/>
      <c r="Z14" s="31">
        <f t="shared" si="2"/>
        <v>0.34491654509568348</v>
      </c>
      <c r="AA14" s="31">
        <f t="shared" si="3"/>
        <v>0.31842122200291767</v>
      </c>
      <c r="AB14" s="31">
        <f t="shared" si="4"/>
        <v>0.92318338024226776</v>
      </c>
      <c r="AC14" s="41">
        <v>119</v>
      </c>
      <c r="AD14" s="25">
        <v>119</v>
      </c>
      <c r="AE14" s="25">
        <f t="shared" si="5"/>
        <v>41.045068866386337</v>
      </c>
      <c r="AF14" s="25">
        <f t="shared" si="6"/>
        <v>37.892125418347206</v>
      </c>
      <c r="AG14" s="25">
        <f>43/119</f>
        <v>0.36134453781512604</v>
      </c>
      <c r="AH14" s="24">
        <v>50.295999999999999</v>
      </c>
      <c r="AI14" s="24">
        <v>20.274000000000001</v>
      </c>
      <c r="AJ14" s="34"/>
      <c r="AK14" s="34">
        <v>300</v>
      </c>
      <c r="AL14" s="34">
        <v>203000</v>
      </c>
      <c r="AM14" s="26">
        <f t="shared" si="7"/>
        <v>70.569999999999993</v>
      </c>
      <c r="AN14" s="26">
        <f t="shared" si="8"/>
        <v>22.470985636745901</v>
      </c>
      <c r="AO14" s="26"/>
      <c r="AP14" s="26">
        <v>9.9429999999999996</v>
      </c>
      <c r="AQ14" s="26">
        <f t="shared" si="9"/>
        <v>19.93813586844589</v>
      </c>
      <c r="AR14" s="26"/>
      <c r="AS14" s="26">
        <f>AP14*AA14</f>
        <v>3.1660622103750105</v>
      </c>
      <c r="AT14" s="25">
        <f t="shared" si="10"/>
        <v>23.1041980788209</v>
      </c>
      <c r="AU14" s="66">
        <f t="shared" si="11"/>
        <v>0.3891626619754569</v>
      </c>
      <c r="AV14" s="6">
        <v>0</v>
      </c>
      <c r="AW14" s="6">
        <v>0</v>
      </c>
      <c r="AY14" s="2">
        <f t="shared" si="12"/>
        <v>19.93813586844589</v>
      </c>
      <c r="AZ14" s="26">
        <f t="shared" si="13"/>
        <v>23.1041980788209</v>
      </c>
      <c r="BA14" s="38">
        <f t="shared" si="14"/>
        <v>0.3891626619754569</v>
      </c>
    </row>
    <row r="15" spans="1:53" x14ac:dyDescent="0.2">
      <c r="A15" s="2" t="s">
        <v>24</v>
      </c>
      <c r="B15" s="2"/>
      <c r="C15" s="2"/>
      <c r="D15" s="2"/>
      <c r="E15" s="6" t="s">
        <v>502</v>
      </c>
      <c r="F15" s="6">
        <v>1</v>
      </c>
      <c r="G15" s="6">
        <v>1</v>
      </c>
      <c r="H15" s="6">
        <v>0</v>
      </c>
      <c r="I15" s="6">
        <v>0</v>
      </c>
      <c r="J15" s="25">
        <v>273.81966899999998</v>
      </c>
      <c r="K15" s="25">
        <v>273.81966899999998</v>
      </c>
      <c r="L15" s="25">
        <f t="shared" si="0"/>
        <v>197.24179700000002</v>
      </c>
      <c r="M15" s="24">
        <f t="shared" si="1"/>
        <v>197.24179700000002</v>
      </c>
      <c r="N15" s="24"/>
      <c r="O15" s="24"/>
      <c r="P15" s="24"/>
      <c r="Q15" s="24"/>
      <c r="R15" s="26">
        <v>161.90862100000001</v>
      </c>
      <c r="S15" s="26">
        <v>2.5</v>
      </c>
      <c r="T15" s="26">
        <v>32.045344999999998</v>
      </c>
      <c r="U15" s="26">
        <v>0.78783099999999995</v>
      </c>
      <c r="V15" s="26"/>
      <c r="W15" s="26">
        <v>154.76</v>
      </c>
      <c r="X15" s="26">
        <v>2.5</v>
      </c>
      <c r="Y15" s="25">
        <f>11.5555+3.76</f>
        <v>15.3155</v>
      </c>
      <c r="Z15" s="31">
        <f t="shared" si="2"/>
        <v>1</v>
      </c>
      <c r="AA15" s="31">
        <f t="shared" si="3"/>
        <v>0.70376542747362825</v>
      </c>
      <c r="AB15" s="31">
        <f t="shared" si="4"/>
        <v>0.70376542747362825</v>
      </c>
      <c r="AC15" s="41">
        <v>190</v>
      </c>
      <c r="AD15" s="25">
        <v>28</v>
      </c>
      <c r="AE15" s="25">
        <f t="shared" si="5"/>
        <v>28</v>
      </c>
      <c r="AF15" s="25">
        <f t="shared" si="6"/>
        <v>19.705431969261589</v>
      </c>
      <c r="AG15" s="25">
        <v>0.18</v>
      </c>
      <c r="AH15" s="24">
        <v>12.964981</v>
      </c>
      <c r="AI15" s="24">
        <v>5.315963</v>
      </c>
      <c r="AJ15" s="34"/>
      <c r="AK15" s="34"/>
      <c r="AL15" s="34"/>
      <c r="AM15" s="26">
        <f t="shared" si="7"/>
        <v>18.280943999999998</v>
      </c>
      <c r="AN15" s="26">
        <f t="shared" si="8"/>
        <v>12.865496368781455</v>
      </c>
      <c r="AO15" s="26">
        <f>10.96113+17.668079</f>
        <v>28.629208999999999</v>
      </c>
      <c r="AP15" s="26">
        <v>10.824712</v>
      </c>
      <c r="AQ15" s="26">
        <f t="shared" si="9"/>
        <v>0</v>
      </c>
      <c r="AR15" s="26">
        <f>AO15*AA15</f>
        <v>20.148247510116846</v>
      </c>
      <c r="AS15" s="26">
        <f>AP15*AA15</f>
        <v>7.6180580679589136</v>
      </c>
      <c r="AT15" s="25">
        <f t="shared" si="10"/>
        <v>27.766305578075759</v>
      </c>
      <c r="AU15" s="66">
        <f t="shared" si="11"/>
        <v>0.14077292947232556</v>
      </c>
      <c r="AV15" s="6">
        <v>0</v>
      </c>
      <c r="AW15" s="6">
        <v>0</v>
      </c>
      <c r="AY15" s="2">
        <f t="shared" si="12"/>
        <v>6.771049914414327</v>
      </c>
      <c r="AZ15" s="26">
        <f t="shared" si="13"/>
        <v>14.38910798237324</v>
      </c>
      <c r="BA15" s="38">
        <f t="shared" si="14"/>
        <v>7.2951616752778004E-2</v>
      </c>
    </row>
    <row r="16" spans="1:53" x14ac:dyDescent="0.2">
      <c r="A16" s="2" t="s">
        <v>38</v>
      </c>
      <c r="B16" s="2"/>
      <c r="C16" s="2"/>
      <c r="D16" s="2"/>
      <c r="E16" s="6" t="s">
        <v>502</v>
      </c>
      <c r="F16" s="6">
        <v>1</v>
      </c>
      <c r="G16" s="6">
        <v>1</v>
      </c>
      <c r="H16" s="6">
        <v>0</v>
      </c>
      <c r="I16" s="6">
        <v>0</v>
      </c>
      <c r="J16" s="25">
        <v>329.87400000000002</v>
      </c>
      <c r="K16" s="25">
        <f>L16</f>
        <v>65.8</v>
      </c>
      <c r="L16" s="25">
        <f t="shared" si="0"/>
        <v>65.8</v>
      </c>
      <c r="M16" s="24">
        <f t="shared" si="1"/>
        <v>65.8</v>
      </c>
      <c r="N16" s="24"/>
      <c r="O16" s="24"/>
      <c r="P16" s="24"/>
      <c r="Q16" s="24"/>
      <c r="R16" s="26"/>
      <c r="S16" s="26"/>
      <c r="T16" s="26"/>
      <c r="U16" s="26"/>
      <c r="V16" s="26">
        <v>65.8</v>
      </c>
      <c r="W16" s="26">
        <v>40.161000000000001</v>
      </c>
      <c r="X16" s="26">
        <v>2.8</v>
      </c>
      <c r="Y16" s="25"/>
      <c r="Z16" s="31">
        <f t="shared" si="2"/>
        <v>0.1994701007051177</v>
      </c>
      <c r="AA16" s="31">
        <f t="shared" si="3"/>
        <v>0.1994701007051177</v>
      </c>
      <c r="AB16" s="31">
        <f t="shared" si="4"/>
        <v>1</v>
      </c>
      <c r="AC16" s="41">
        <v>79</v>
      </c>
      <c r="AD16" s="25">
        <v>79</v>
      </c>
      <c r="AE16" s="25">
        <f t="shared" si="5"/>
        <v>15.758137955704298</v>
      </c>
      <c r="AF16" s="25">
        <f t="shared" si="6"/>
        <v>15.758137955704298</v>
      </c>
      <c r="AG16" s="25">
        <f>25.4/79</f>
        <v>0.32151898734177214</v>
      </c>
      <c r="AH16" s="24">
        <v>34.216999999999999</v>
      </c>
      <c r="AI16" s="24">
        <v>17.518999999999998</v>
      </c>
      <c r="AJ16" s="34"/>
      <c r="AK16" s="34"/>
      <c r="AL16" s="34">
        <v>195000</v>
      </c>
      <c r="AM16" s="26">
        <f t="shared" si="7"/>
        <v>51.735999999999997</v>
      </c>
      <c r="AN16" s="26">
        <f t="shared" si="8"/>
        <v>10.319785130079969</v>
      </c>
      <c r="AO16" s="24"/>
      <c r="AP16" s="24">
        <v>19.2</v>
      </c>
      <c r="AQ16" s="26">
        <f t="shared" si="9"/>
        <v>7.2559243832493605</v>
      </c>
      <c r="AR16" s="24"/>
      <c r="AS16" s="24">
        <f>AP16*AA16</f>
        <v>3.8298259335382596</v>
      </c>
      <c r="AT16" s="25">
        <f t="shared" si="10"/>
        <v>11.085750316787621</v>
      </c>
      <c r="AU16" s="66">
        <f t="shared" si="11"/>
        <v>0.1684764485833985</v>
      </c>
      <c r="AV16" s="6">
        <v>0</v>
      </c>
      <c r="AW16" s="6">
        <v>0</v>
      </c>
      <c r="AY16" s="2">
        <f t="shared" si="12"/>
        <v>7.2559243832493605</v>
      </c>
      <c r="AZ16" s="26">
        <f t="shared" si="13"/>
        <v>11.085750316787621</v>
      </c>
      <c r="BA16" s="38">
        <f t="shared" si="14"/>
        <v>0.1684764485833985</v>
      </c>
    </row>
    <row r="17" spans="1:53" s="10" customFormat="1" ht="15" x14ac:dyDescent="0.25">
      <c r="A17" s="10" t="s">
        <v>668</v>
      </c>
      <c r="B17" s="10">
        <f>SUM(B2:B16)</f>
        <v>0</v>
      </c>
      <c r="C17" s="10">
        <f>SUM(C2:C16)</f>
        <v>0</v>
      </c>
      <c r="D17" s="10">
        <f>SUM(D2:D16)</f>
        <v>0</v>
      </c>
      <c r="E17" s="10">
        <f>COUNTA(E2:E16)</f>
        <v>15</v>
      </c>
      <c r="F17" s="10">
        <f>SUM(F2:F16)</f>
        <v>15</v>
      </c>
      <c r="G17" s="10">
        <f>SUM(G2:G16)</f>
        <v>7</v>
      </c>
      <c r="H17" s="10">
        <f>SUM(H2:H16)</f>
        <v>1</v>
      </c>
      <c r="I17" s="10">
        <f>SUM(I2:I16)</f>
        <v>1</v>
      </c>
      <c r="J17" s="52">
        <f>SUM(J2:J16)-Y17</f>
        <v>6518.6634199999999</v>
      </c>
      <c r="K17" s="52">
        <f>SUM(K2:K16)-Y17</f>
        <v>2597.2014200000003</v>
      </c>
      <c r="L17" s="52">
        <f>SUM(L2:L16)-Y17</f>
        <v>1852.5931350000001</v>
      </c>
      <c r="M17" s="27">
        <f>SUM(M2:M16)</f>
        <v>2148.3436349999997</v>
      </c>
      <c r="W17" s="53"/>
      <c r="X17" s="44"/>
      <c r="Y17" s="52">
        <f>SUM(Y2:Y16)</f>
        <v>303.53149999999999</v>
      </c>
      <c r="AC17" s="104">
        <f>SUM(AC2:AC16)</f>
        <v>2254.98</v>
      </c>
      <c r="AD17" s="104">
        <f>SUM(AD2:AD16)</f>
        <v>1235.6199999999999</v>
      </c>
      <c r="AE17" s="104">
        <f>SUM(AE2:AE16)</f>
        <v>582.36783976120012</v>
      </c>
      <c r="AF17" s="104">
        <f>SUM(AF2:AF16)</f>
        <v>430.97943651572473</v>
      </c>
      <c r="AG17" s="52">
        <f>AVERAGE(AG2:AG16)</f>
        <v>0.30898135844369295</v>
      </c>
      <c r="AJ17" s="36">
        <f>SUM(AJ2:AJ16)</f>
        <v>111</v>
      </c>
      <c r="AK17" s="36">
        <f>SUM(AK2:AK16)</f>
        <v>840</v>
      </c>
      <c r="AL17" s="36">
        <f>SUM(AL2:AL16)</f>
        <v>6961668</v>
      </c>
      <c r="AT17" s="52">
        <f>SUM(AT2:AT16)</f>
        <v>322.44018415550573</v>
      </c>
      <c r="AU17" s="102">
        <f t="shared" si="11"/>
        <v>0.17404802925360388</v>
      </c>
      <c r="AZ17" s="27">
        <f>SUM(AZ2:AZ16)</f>
        <v>305.78359867684486</v>
      </c>
      <c r="BA17" s="54">
        <f t="shared" si="14"/>
        <v>0.16505707211143522</v>
      </c>
    </row>
    <row r="18" spans="1:53" x14ac:dyDescent="0.2">
      <c r="L18" s="25"/>
    </row>
    <row r="19" spans="1:53" ht="15" x14ac:dyDescent="0.25">
      <c r="K19" s="52">
        <f>SUM(K2:K16)</f>
        <v>2900.7329200000004</v>
      </c>
      <c r="L19" s="52">
        <f>SUM(L2:L16)</f>
        <v>2156.1246350000001</v>
      </c>
      <c r="Y19" s="5" t="s">
        <v>667</v>
      </c>
    </row>
    <row r="20" spans="1:53" x14ac:dyDescent="0.2">
      <c r="Y20" s="5">
        <v>32.437799999999989</v>
      </c>
    </row>
    <row r="21" spans="1:53" x14ac:dyDescent="0.2">
      <c r="Y21" s="5">
        <v>1.495827</v>
      </c>
    </row>
    <row r="22" spans="1:53" x14ac:dyDescent="0.2">
      <c r="Y22" s="5">
        <v>3.6760000000000002</v>
      </c>
    </row>
    <row r="23" spans="1:53" x14ac:dyDescent="0.2">
      <c r="Y23" s="5">
        <v>8.6284930000000006</v>
      </c>
    </row>
    <row r="24" spans="1:53" x14ac:dyDescent="0.2">
      <c r="Y24" s="5">
        <v>113.828154</v>
      </c>
    </row>
    <row r="25" spans="1:53" x14ac:dyDescent="0.2">
      <c r="Y25" s="5">
        <v>113.98992100000001</v>
      </c>
    </row>
    <row r="26" spans="1:53" x14ac:dyDescent="0.2">
      <c r="Y26" s="5">
        <v>0.48699999999999999</v>
      </c>
    </row>
    <row r="27" spans="1:53" x14ac:dyDescent="0.2">
      <c r="Y27" s="5">
        <f>SUM(Y20:Y26)</f>
        <v>274.54319500000003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1"/>
  <sheetViews>
    <sheetView zoomScale="80" zoomScaleNormal="8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2" sqref="I12"/>
    </sheetView>
  </sheetViews>
  <sheetFormatPr defaultColWidth="8.75" defaultRowHeight="14.25" x14ac:dyDescent="0.2"/>
  <cols>
    <col min="1" max="1" width="35.5" style="6" customWidth="1"/>
    <col min="2" max="4" width="6.25" style="6" customWidth="1"/>
    <col min="5" max="5" width="7.875" style="6" customWidth="1"/>
    <col min="6" max="6" width="6.625" style="6" customWidth="1"/>
    <col min="7" max="7" width="5.875" style="6" customWidth="1"/>
    <col min="8" max="8" width="8.75" style="6" customWidth="1"/>
    <col min="9" max="9" width="10.75" style="6" customWidth="1"/>
    <col min="10" max="10" width="9.25" style="6" bestFit="1" customWidth="1"/>
    <col min="11" max="11" width="7.375" style="6" customWidth="1"/>
    <col min="12" max="12" width="9" style="6" customWidth="1"/>
    <col min="13" max="13" width="8.75" style="6"/>
    <col min="14" max="14" width="8.375" style="6" customWidth="1"/>
    <col min="15" max="15" width="8.125" style="57" customWidth="1"/>
    <col min="16" max="16" width="9.25" style="6" customWidth="1"/>
    <col min="17" max="16384" width="8.75" style="6"/>
  </cols>
  <sheetData>
    <row r="1" spans="1:22" s="1" customFormat="1" ht="114" x14ac:dyDescent="0.2">
      <c r="A1" s="3" t="s">
        <v>0</v>
      </c>
      <c r="B1" s="3" t="s">
        <v>458</v>
      </c>
      <c r="C1" s="1" t="s">
        <v>675</v>
      </c>
      <c r="D1" s="1" t="s">
        <v>212</v>
      </c>
      <c r="E1" s="1" t="s">
        <v>213</v>
      </c>
      <c r="F1" s="1" t="s">
        <v>214</v>
      </c>
      <c r="G1" s="1" t="s">
        <v>401</v>
      </c>
      <c r="H1" s="21" t="s">
        <v>2</v>
      </c>
      <c r="I1" s="21" t="s">
        <v>4</v>
      </c>
      <c r="J1" s="21" t="s">
        <v>8</v>
      </c>
      <c r="K1" s="33" t="s">
        <v>15</v>
      </c>
      <c r="L1" s="21" t="s">
        <v>16</v>
      </c>
      <c r="M1" s="21" t="s">
        <v>446</v>
      </c>
      <c r="N1" s="21" t="s">
        <v>21</v>
      </c>
      <c r="O1" s="56" t="s">
        <v>19</v>
      </c>
      <c r="P1" s="33" t="s">
        <v>441</v>
      </c>
      <c r="Q1" s="33" t="s">
        <v>442</v>
      </c>
      <c r="R1" s="33" t="s">
        <v>3</v>
      </c>
      <c r="S1" s="23" t="s">
        <v>17</v>
      </c>
      <c r="T1" s="3" t="s">
        <v>11</v>
      </c>
      <c r="U1" s="1" t="s">
        <v>677</v>
      </c>
      <c r="V1" s="1" t="s">
        <v>676</v>
      </c>
    </row>
    <row r="2" spans="1:22" x14ac:dyDescent="0.2">
      <c r="A2" s="6" t="str">
        <f>CSO_RAM!A17</f>
        <v>Ramorganisationer</v>
      </c>
      <c r="B2" s="6">
        <f>CSO_RAM!D17</f>
        <v>0</v>
      </c>
      <c r="C2" s="6">
        <f>CSO_RAM!E17</f>
        <v>15</v>
      </c>
      <c r="D2" s="6">
        <f>CSO_RAM!F17</f>
        <v>15</v>
      </c>
      <c r="E2" s="6">
        <f>CSO_RAM!G17</f>
        <v>7</v>
      </c>
      <c r="F2" s="6">
        <f>CSO_RAM!H17</f>
        <v>1</v>
      </c>
      <c r="G2" s="6">
        <f>CSO_RAM!I17</f>
        <v>1</v>
      </c>
      <c r="H2" s="24">
        <f>CSO_RAM!J17</f>
        <v>6518.6634199999999</v>
      </c>
      <c r="I2" s="24">
        <f>CSO_RAM!K17</f>
        <v>2597.2014200000003</v>
      </c>
      <c r="J2" s="24">
        <f>CSO_RAM!L17</f>
        <v>1852.5931350000001</v>
      </c>
      <c r="K2" s="34">
        <f>CSO_RAM!AC17</f>
        <v>2254.98</v>
      </c>
      <c r="L2" s="34">
        <f>CSO_RAM!AD17</f>
        <v>1235.6199999999999</v>
      </c>
      <c r="M2" s="34">
        <f>CSO_RAM!AE17</f>
        <v>582.36783976120012</v>
      </c>
      <c r="N2" s="34">
        <f>CSO_RAM!AF17</f>
        <v>430.97943651572473</v>
      </c>
      <c r="O2" s="57">
        <f>CSO_RAM!AG17</f>
        <v>0.30898135844369295</v>
      </c>
      <c r="P2" s="6">
        <f>CSO_RAM!AJ17</f>
        <v>111</v>
      </c>
      <c r="Q2" s="6">
        <f>CSO_RAM!AK17</f>
        <v>840</v>
      </c>
      <c r="R2" s="6">
        <f>CSO_RAM!AL17</f>
        <v>6961668</v>
      </c>
      <c r="S2" s="24">
        <f>CSO_RAM!AT17</f>
        <v>322.44018415550573</v>
      </c>
      <c r="T2" s="57">
        <f>CSO_RAM!AU17</f>
        <v>0.17404802925360388</v>
      </c>
      <c r="U2" s="24">
        <f>CSO_RAM!AZ17</f>
        <v>305.78359867684486</v>
      </c>
      <c r="V2" s="57">
        <f>CSO_RAM!BA17</f>
        <v>0.16505707211143522</v>
      </c>
    </row>
    <row r="3" spans="1:22" x14ac:dyDescent="0.2">
      <c r="A3" s="6" t="str">
        <f>CSO_PAO!A8</f>
        <v>PAO</v>
      </c>
      <c r="B3" s="6">
        <f>CSO_PAO!D8</f>
        <v>3</v>
      </c>
      <c r="C3" s="6">
        <f>CSO_PAO!E8</f>
        <v>6</v>
      </c>
      <c r="D3" s="6">
        <f>CSO_PAO!F8</f>
        <v>0</v>
      </c>
      <c r="E3" s="6">
        <f>CSO_PAO!G8</f>
        <v>2</v>
      </c>
      <c r="F3" s="6">
        <f>CSO_PAO!H8</f>
        <v>0</v>
      </c>
      <c r="G3" s="6">
        <f>CSO_PAO!I8</f>
        <v>6</v>
      </c>
      <c r="H3" s="24">
        <f>CSO_PAO!J8</f>
        <v>49.604247999999998</v>
      </c>
      <c r="I3" s="24">
        <f>CSO_PAO!K8</f>
        <v>81.214221999999992</v>
      </c>
      <c r="J3" s="24">
        <f>CSO_PAO!L8</f>
        <v>72.270374999999987</v>
      </c>
      <c r="K3" s="34">
        <f>CSO_PAO!AD8</f>
        <v>16.8</v>
      </c>
      <c r="L3" s="34">
        <f>CSO_PAO!AE8</f>
        <v>16.8</v>
      </c>
      <c r="M3" s="34">
        <f>CSO_PAO!AF8</f>
        <v>16.8</v>
      </c>
      <c r="N3" s="34">
        <f>CSO_PAO!AG8</f>
        <v>13.657804211259071</v>
      </c>
      <c r="O3" s="57">
        <f>CSO_PAO!AH8</f>
        <v>0.46269409155071589</v>
      </c>
      <c r="P3" s="6">
        <f>CSO_PAO!AK8</f>
        <v>0</v>
      </c>
      <c r="Q3" s="6">
        <f>CSO_PAO!AL8</f>
        <v>0</v>
      </c>
      <c r="R3" s="6">
        <f>CSO_PAO!AM8</f>
        <v>0</v>
      </c>
      <c r="S3" s="24">
        <f>CSO_PAO!AU8</f>
        <v>4.6212939653953935</v>
      </c>
      <c r="T3" s="57">
        <f>CSO_PAO!AV8</f>
        <v>0.20876788143512912</v>
      </c>
      <c r="U3" s="24">
        <f>CSO_PAO!BA8</f>
        <v>4.5012939653953934</v>
      </c>
      <c r="V3" s="57">
        <f>CSO_PAO!BB8</f>
        <v>0</v>
      </c>
    </row>
    <row r="4" spans="1:22" x14ac:dyDescent="0.2">
      <c r="A4" s="6" t="str">
        <f>'CSO_FS_1milj+'!A24</f>
        <v>Forum Syd-medlemmar &gt; 1 miljon</v>
      </c>
      <c r="B4" s="6">
        <f>'CSO_FS_1milj+'!D24</f>
        <v>7</v>
      </c>
      <c r="C4" s="6">
        <f>'CSO_FS_1milj+'!E24</f>
        <v>22</v>
      </c>
      <c r="D4" s="6">
        <f>'CSO_FS_1milj+'!F24</f>
        <v>0</v>
      </c>
      <c r="E4" s="6">
        <f>'CSO_FS_1milj+'!G24</f>
        <v>22</v>
      </c>
      <c r="F4" s="6">
        <f>'CSO_FS_1milj+'!H24</f>
        <v>0</v>
      </c>
      <c r="G4" s="6">
        <f>'CSO_FS_1milj+'!I24</f>
        <v>0</v>
      </c>
      <c r="H4" s="24">
        <f>'CSO_FS_1milj+'!J24</f>
        <v>1171.8580650000001</v>
      </c>
      <c r="I4" s="24">
        <f>'CSO_FS_1milj+'!K24</f>
        <v>1057.7799660000001</v>
      </c>
      <c r="J4" s="24">
        <f>'CSO_FS_1milj+'!L24</f>
        <v>276.91284200000007</v>
      </c>
      <c r="K4" s="34">
        <f>'CSO_FS_1milj+'!AD24</f>
        <v>6093.93</v>
      </c>
      <c r="L4" s="34">
        <f>'CSO_FS_1milj+'!AE24</f>
        <v>292.43</v>
      </c>
      <c r="M4" s="34">
        <f>'CSO_FS_1milj+'!AF24</f>
        <v>135.79217052715848</v>
      </c>
      <c r="N4" s="34">
        <f>'CSO_FS_1milj+'!AG24</f>
        <v>74.709756684897826</v>
      </c>
      <c r="O4" s="57">
        <f>'CSO_FS_1milj+'!AH24</f>
        <v>0.32022183191333919</v>
      </c>
      <c r="P4" s="6">
        <f>'CSO_FS_1milj+'!AK24</f>
        <v>70</v>
      </c>
      <c r="Q4" s="6">
        <f>'CSO_FS_1milj+'!AL24</f>
        <v>0</v>
      </c>
      <c r="R4" s="6">
        <f>'CSO_FS_1milj+'!AM24</f>
        <v>19747</v>
      </c>
      <c r="S4" s="24">
        <f>'CSO_FS_1milj+'!AW24</f>
        <v>37.378722631811904</v>
      </c>
      <c r="T4" s="57">
        <f>'CSO_FS_1milj+'!AX24</f>
        <v>0.13498370953778985</v>
      </c>
      <c r="U4" s="24">
        <f>'CSO_FS_1milj+'!BC24</f>
        <v>38.568958074225009</v>
      </c>
      <c r="V4" s="57">
        <f>'CSO_FS_1milj+'!BD24</f>
        <v>0.13928194082896667</v>
      </c>
    </row>
    <row r="5" spans="1:22" x14ac:dyDescent="0.2">
      <c r="A5" s="6" t="str">
        <f>CSO_SMR!A16</f>
        <v>SMR-medlemmar &gt; 1 miljon</v>
      </c>
      <c r="B5" s="6">
        <f>CSO_SMR!D16</f>
        <v>1</v>
      </c>
      <c r="C5" s="6">
        <f>CSO_SMR!E16</f>
        <v>14</v>
      </c>
      <c r="D5" s="6">
        <f>CSO_SMR!F16</f>
        <v>0</v>
      </c>
      <c r="E5" s="6">
        <f>CSO_SMR!G16</f>
        <v>0</v>
      </c>
      <c r="F5" s="6">
        <f>CSO_SMR!H16</f>
        <v>14</v>
      </c>
      <c r="G5" s="6">
        <f>CSO_SMR!I16</f>
        <v>0</v>
      </c>
      <c r="H5" s="24">
        <f>CSO_SMR!J16</f>
        <v>689.69335799999988</v>
      </c>
      <c r="I5" s="24">
        <f>CSO_SMR!K16</f>
        <v>216.63471099999995</v>
      </c>
      <c r="J5" s="24">
        <f>CSO_SMR!L16</f>
        <v>165.69461200000001</v>
      </c>
      <c r="K5" s="34">
        <f>CSO_SMR!X16</f>
        <v>579.51</v>
      </c>
      <c r="L5" s="34">
        <f>CSO_SMR!Y16</f>
        <v>343.13</v>
      </c>
      <c r="M5" s="34">
        <f>CSO_SMR!Z16</f>
        <v>87.659960868598958</v>
      </c>
      <c r="N5" s="34">
        <f>CSO_SMR!AA16</f>
        <v>79.009118981389506</v>
      </c>
      <c r="O5" s="57">
        <f>CSO_SMR!AB16</f>
        <v>0.44139763794824466</v>
      </c>
      <c r="P5" s="6">
        <f>CSO_SMR!AE16</f>
        <v>25</v>
      </c>
      <c r="Q5" s="6">
        <f>CSO_SMR!AF16</f>
        <v>0</v>
      </c>
      <c r="R5" s="6">
        <f>CSO_SMR!AG16</f>
        <v>107244</v>
      </c>
      <c r="S5" s="24">
        <f>CSO_SMR!AO16</f>
        <v>32.359445832795934</v>
      </c>
      <c r="T5" s="57">
        <f>CSO_SMR!AP16</f>
        <v>0.19529570359714493</v>
      </c>
      <c r="U5" s="24">
        <f>CSO_SMR!AU16</f>
        <v>32.960805266978987</v>
      </c>
      <c r="V5" s="57">
        <f>CSO_SMR!AV16</f>
        <v>0</v>
      </c>
    </row>
    <row r="6" spans="1:22" x14ac:dyDescent="0.2">
      <c r="A6" s="6" t="str">
        <f>'CSO_övr_1milj+'!A13</f>
        <v>Övriga organisationer &gt; 1 miljon</v>
      </c>
      <c r="B6" s="6">
        <f>'CSO_övr_1milj+'!D13</f>
        <v>2</v>
      </c>
      <c r="C6" s="6">
        <f>'CSO_övr_1milj+'!E13</f>
        <v>11</v>
      </c>
      <c r="D6" s="6">
        <f>'CSO_övr_1milj+'!F13</f>
        <v>0</v>
      </c>
      <c r="E6" s="6">
        <f>'CSO_övr_1milj+'!G13</f>
        <v>0</v>
      </c>
      <c r="F6" s="6">
        <f>'CSO_övr_1milj+'!H13</f>
        <v>0</v>
      </c>
      <c r="G6" s="6">
        <f>'CSO_övr_1milj+'!I13</f>
        <v>0</v>
      </c>
      <c r="H6" s="24">
        <f>'CSO_övr_1milj+'!J13</f>
        <v>1497.3980179999999</v>
      </c>
      <c r="I6" s="24">
        <f>'CSO_övr_1milj+'!K13</f>
        <v>1240.05647</v>
      </c>
      <c r="J6" s="24">
        <f>'CSO_övr_1milj+'!L13</f>
        <v>556.05383000000018</v>
      </c>
      <c r="K6" s="34">
        <f>'CSO_övr_1milj+'!AD13</f>
        <v>1178.8</v>
      </c>
      <c r="L6" s="34">
        <f>'CSO_övr_1milj+'!AE13</f>
        <v>380.1</v>
      </c>
      <c r="M6" s="34">
        <f>'CSO_övr_1milj+'!AF13</f>
        <v>256.23760104149972</v>
      </c>
      <c r="N6" s="34">
        <f>'CSO_övr_1milj+'!AG13</f>
        <v>159.80728141142151</v>
      </c>
      <c r="O6" s="57">
        <f>'CSO_övr_1milj+'!AH13</f>
        <v>0</v>
      </c>
      <c r="P6" s="6">
        <f>'CSO_övr_1milj+'!AK13</f>
        <v>0</v>
      </c>
      <c r="Q6" s="6">
        <f>'CSO_övr_1milj+'!AL13</f>
        <v>0</v>
      </c>
      <c r="R6" s="6">
        <f>'CSO_övr_1milj+'!AM13</f>
        <v>134771</v>
      </c>
      <c r="S6" s="24">
        <f>'CSO_övr_1milj+'!AW13</f>
        <v>92.913167169827943</v>
      </c>
      <c r="T6" s="57">
        <f>'CSO_övr_1milj+'!AX13</f>
        <v>0.16709383544724063</v>
      </c>
      <c r="U6" s="24">
        <f>'CSO_övr_1milj+'!BC13</f>
        <v>95.022942769021796</v>
      </c>
      <c r="V6" s="57">
        <f>'CSO_övr_1milj+'!BD13</f>
        <v>0.17088802853677271</v>
      </c>
    </row>
    <row r="7" spans="1:22" x14ac:dyDescent="0.2">
      <c r="A7" s="6" t="str">
        <f>'CSO_1milj-'!A116</f>
        <v>Organisationer &lt; 1 miljon</v>
      </c>
      <c r="B7" s="6">
        <f>'CSO_1milj-'!D116</f>
        <v>0</v>
      </c>
      <c r="C7" s="6">
        <f>'CSO_1milj-'!E116</f>
        <v>114</v>
      </c>
      <c r="D7" s="6">
        <f>'CSO_1milj-'!F116</f>
        <v>0</v>
      </c>
      <c r="E7" s="6">
        <f>'CSO_1milj-'!G116</f>
        <v>36</v>
      </c>
      <c r="F7" s="6">
        <f>'CSO_1milj-'!H116</f>
        <v>6</v>
      </c>
      <c r="G7" s="6">
        <f>'CSO_1milj-'!I116</f>
        <v>0</v>
      </c>
      <c r="H7" s="24">
        <f>'CSO_1milj-'!J116</f>
        <v>897.36464199999989</v>
      </c>
      <c r="I7" s="24">
        <f>'CSO_1milj-'!K116</f>
        <v>89.952516000000003</v>
      </c>
      <c r="J7" s="24">
        <f>'CSO_1milj-'!L116</f>
        <v>40.807814999999984</v>
      </c>
      <c r="K7" s="34"/>
      <c r="L7" s="34"/>
      <c r="M7" s="34"/>
      <c r="N7" s="34"/>
      <c r="S7" s="24"/>
      <c r="T7" s="57"/>
      <c r="U7" s="24"/>
      <c r="V7" s="57"/>
    </row>
    <row r="8" spans="1:22" x14ac:dyDescent="0.2">
      <c r="A8" s="6" t="str">
        <f>'CSO u bidrag'!A108</f>
        <v>CSO utan bidrag</v>
      </c>
      <c r="B8" s="6">
        <f>'CSO u bidrag'!D108</f>
        <v>0</v>
      </c>
      <c r="C8" s="6">
        <f>'CSO u bidrag'!E108</f>
        <v>106</v>
      </c>
      <c r="D8" s="6">
        <f>'CSO u bidrag'!F108</f>
        <v>0</v>
      </c>
      <c r="E8" s="6">
        <f>'CSO u bidrag'!G108</f>
        <v>93</v>
      </c>
      <c r="F8" s="6">
        <f>'CSO u bidrag'!H108</f>
        <v>13</v>
      </c>
      <c r="G8" s="6">
        <f>'CSO u bidrag'!I108</f>
        <v>0</v>
      </c>
      <c r="H8" s="24"/>
      <c r="I8" s="24"/>
      <c r="J8" s="24"/>
      <c r="K8" s="34"/>
      <c r="L8" s="34"/>
      <c r="M8" s="34"/>
      <c r="N8" s="34"/>
      <c r="S8" s="24"/>
      <c r="T8" s="57"/>
      <c r="U8" s="24"/>
      <c r="V8" s="57"/>
    </row>
    <row r="9" spans="1:22" x14ac:dyDescent="0.2">
      <c r="A9" s="6" t="s">
        <v>674</v>
      </c>
      <c r="B9" s="6">
        <f t="shared" ref="B9:U9" si="0">SUM(B2:B8)</f>
        <v>13</v>
      </c>
      <c r="C9" s="6">
        <f t="shared" si="0"/>
        <v>288</v>
      </c>
      <c r="D9" s="6">
        <f t="shared" si="0"/>
        <v>15</v>
      </c>
      <c r="E9" s="6">
        <f t="shared" si="0"/>
        <v>160</v>
      </c>
      <c r="F9" s="6">
        <f t="shared" si="0"/>
        <v>34</v>
      </c>
      <c r="G9" s="6">
        <f t="shared" si="0"/>
        <v>7</v>
      </c>
      <c r="H9" s="24">
        <f>SUM(H2:H6)</f>
        <v>9927.2171089999993</v>
      </c>
      <c r="I9" s="24">
        <f>SUM(I2:I6)</f>
        <v>5192.8867890000001</v>
      </c>
      <c r="J9" s="24">
        <f>SUM(J2:J6)</f>
        <v>2923.5247940000004</v>
      </c>
      <c r="K9" s="34">
        <f t="shared" si="0"/>
        <v>10124.02</v>
      </c>
      <c r="L9" s="34">
        <f t="shared" si="0"/>
        <v>2268.08</v>
      </c>
      <c r="M9" s="34">
        <f t="shared" si="0"/>
        <v>1078.8575721984571</v>
      </c>
      <c r="N9" s="68">
        <f t="shared" si="0"/>
        <v>758.16339780469264</v>
      </c>
      <c r="O9" s="57">
        <f>AVERAGE(O2:O8)</f>
        <v>0.30665898397119856</v>
      </c>
      <c r="P9" s="6">
        <f t="shared" si="0"/>
        <v>206</v>
      </c>
      <c r="Q9" s="6">
        <f t="shared" si="0"/>
        <v>840</v>
      </c>
      <c r="R9" s="6">
        <f t="shared" si="0"/>
        <v>7223430</v>
      </c>
      <c r="S9" s="68">
        <f t="shared" si="0"/>
        <v>489.71281375533692</v>
      </c>
      <c r="T9" s="57">
        <f>S9/J9</f>
        <v>0.16750766566453715</v>
      </c>
      <c r="U9" s="24">
        <f t="shared" si="0"/>
        <v>476.83759875246608</v>
      </c>
      <c r="V9" s="57">
        <f>U9/J9</f>
        <v>0.16310366162486051</v>
      </c>
    </row>
    <row r="10" spans="1:22" x14ac:dyDescent="0.2">
      <c r="H10" s="24">
        <f>SUM(H2:H7)</f>
        <v>10824.581751</v>
      </c>
      <c r="I10" s="24">
        <f>SUM(I2:I7)</f>
        <v>5282.8393050000004</v>
      </c>
      <c r="J10" s="24">
        <f>SUM(J2:J7)</f>
        <v>2964.3326090000005</v>
      </c>
    </row>
    <row r="11" spans="1:22" x14ac:dyDescent="0.2">
      <c r="J11" s="6">
        <f>J9/I9</f>
        <v>0.56298642985879277</v>
      </c>
      <c r="N11" s="6">
        <f>N9/M9</f>
        <v>0.70274651385143883</v>
      </c>
      <c r="S11" s="6">
        <f>S9/J9</f>
        <v>0.16750766566453715</v>
      </c>
    </row>
  </sheetData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pane ySplit="1" topLeftCell="A2" activePane="bottomLeft" state="frozen"/>
      <selection pane="bottomLeft" activeCell="G23" sqref="G23"/>
    </sheetView>
  </sheetViews>
  <sheetFormatPr defaultRowHeight="14.25" x14ac:dyDescent="0.2"/>
  <cols>
    <col min="1" max="1" width="5.625" style="6" customWidth="1"/>
    <col min="2" max="2" width="11.75" style="6" customWidth="1"/>
    <col min="3" max="3" width="10" style="6" customWidth="1"/>
    <col min="4" max="4" width="7" style="6" customWidth="1"/>
    <col min="5" max="16384" width="9" style="6"/>
  </cols>
  <sheetData>
    <row r="1" spans="1:6" x14ac:dyDescent="0.2">
      <c r="A1" s="6" t="s">
        <v>655</v>
      </c>
      <c r="B1" s="6" t="s">
        <v>660</v>
      </c>
      <c r="C1" s="6" t="s">
        <v>657</v>
      </c>
      <c r="D1" s="6" t="s">
        <v>663</v>
      </c>
      <c r="E1" s="6" t="s">
        <v>664</v>
      </c>
      <c r="F1" s="6" t="s">
        <v>665</v>
      </c>
    </row>
    <row r="2" spans="1:6" x14ac:dyDescent="0.2">
      <c r="A2" s="6">
        <v>6648</v>
      </c>
      <c r="B2" s="6">
        <f>121+130+102</f>
        <v>353</v>
      </c>
      <c r="C2" s="6">
        <v>750</v>
      </c>
      <c r="D2" s="6">
        <v>751</v>
      </c>
      <c r="E2" s="6">
        <f>D2/C2</f>
        <v>1.0013333333333334</v>
      </c>
      <c r="F2" s="6">
        <f>E2*B2</f>
        <v>353.47066666666672</v>
      </c>
    </row>
    <row r="3" spans="1:6" x14ac:dyDescent="0.2">
      <c r="A3" s="6">
        <v>6649</v>
      </c>
      <c r="B3" s="6">
        <v>300</v>
      </c>
      <c r="C3" s="6">
        <v>750</v>
      </c>
      <c r="D3" s="6">
        <v>751</v>
      </c>
      <c r="E3" s="6">
        <f t="shared" ref="E3:E48" si="0">D3/C3</f>
        <v>1.0013333333333334</v>
      </c>
      <c r="F3" s="6">
        <f t="shared" ref="F3:F48" si="1">E3*B3</f>
        <v>300.40000000000003</v>
      </c>
    </row>
    <row r="4" spans="1:6" x14ac:dyDescent="0.2">
      <c r="A4" s="6">
        <v>6650</v>
      </c>
      <c r="B4" s="6">
        <v>335</v>
      </c>
      <c r="C4" s="6">
        <v>742</v>
      </c>
      <c r="D4" s="6">
        <v>741</v>
      </c>
      <c r="E4" s="6">
        <f t="shared" si="0"/>
        <v>0.99865229110512133</v>
      </c>
      <c r="F4" s="6">
        <f t="shared" si="1"/>
        <v>334.54851752021563</v>
      </c>
    </row>
    <row r="5" spans="1:6" x14ac:dyDescent="0.2">
      <c r="A5" s="6">
        <v>6651</v>
      </c>
      <c r="B5" s="6">
        <v>360</v>
      </c>
      <c r="C5" s="6">
        <v>750</v>
      </c>
      <c r="D5" s="6">
        <v>751</v>
      </c>
      <c r="E5" s="6">
        <f t="shared" si="0"/>
        <v>1.0013333333333334</v>
      </c>
      <c r="F5" s="6">
        <f t="shared" si="1"/>
        <v>360.48</v>
      </c>
    </row>
    <row r="6" spans="1:6" x14ac:dyDescent="0.2">
      <c r="A6" s="6">
        <v>6652</v>
      </c>
      <c r="B6" s="6">
        <v>375</v>
      </c>
      <c r="C6" s="6">
        <v>750</v>
      </c>
      <c r="D6" s="6">
        <v>751</v>
      </c>
      <c r="E6" s="6">
        <f t="shared" si="0"/>
        <v>1.0013333333333334</v>
      </c>
      <c r="F6" s="6">
        <f t="shared" si="1"/>
        <v>375.5</v>
      </c>
    </row>
    <row r="7" spans="1:6" x14ac:dyDescent="0.2">
      <c r="A7" s="6">
        <v>6655</v>
      </c>
      <c r="B7" s="6">
        <v>345</v>
      </c>
      <c r="C7" s="6">
        <v>750</v>
      </c>
      <c r="D7" s="6">
        <v>751</v>
      </c>
      <c r="E7" s="6">
        <f t="shared" si="0"/>
        <v>1.0013333333333334</v>
      </c>
      <c r="F7" s="6">
        <f t="shared" si="1"/>
        <v>345.46000000000004</v>
      </c>
    </row>
    <row r="8" spans="1:6" x14ac:dyDescent="0.2">
      <c r="A8" s="6">
        <v>6656</v>
      </c>
      <c r="B8" s="6">
        <v>360</v>
      </c>
      <c r="C8" s="6">
        <v>750</v>
      </c>
      <c r="D8" s="6">
        <v>751</v>
      </c>
      <c r="E8" s="6">
        <f t="shared" si="0"/>
        <v>1.0013333333333334</v>
      </c>
      <c r="F8" s="6">
        <f t="shared" si="1"/>
        <v>360.48</v>
      </c>
    </row>
    <row r="9" spans="1:6" x14ac:dyDescent="0.2">
      <c r="A9" s="6">
        <v>6669</v>
      </c>
      <c r="B9" s="6">
        <v>408</v>
      </c>
      <c r="C9" s="6">
        <v>718</v>
      </c>
      <c r="D9" s="6">
        <v>717</v>
      </c>
      <c r="E9" s="6">
        <f t="shared" si="0"/>
        <v>0.99860724233983289</v>
      </c>
      <c r="F9" s="6">
        <f t="shared" si="1"/>
        <v>407.4317548746518</v>
      </c>
    </row>
    <row r="10" spans="1:6" x14ac:dyDescent="0.2">
      <c r="A10" s="6">
        <v>6671</v>
      </c>
      <c r="B10" s="6">
        <v>381</v>
      </c>
      <c r="C10" s="6">
        <v>730</v>
      </c>
      <c r="D10" s="6">
        <v>730</v>
      </c>
      <c r="E10" s="6">
        <f t="shared" si="0"/>
        <v>1</v>
      </c>
      <c r="F10" s="6">
        <f t="shared" si="1"/>
        <v>381</v>
      </c>
    </row>
    <row r="11" spans="1:6" x14ac:dyDescent="0.2">
      <c r="A11" s="6">
        <v>6672</v>
      </c>
      <c r="B11" s="6">
        <v>431</v>
      </c>
      <c r="C11" s="6">
        <v>750</v>
      </c>
      <c r="D11" s="6">
        <v>751</v>
      </c>
      <c r="E11" s="6">
        <f t="shared" si="0"/>
        <v>1.0013333333333334</v>
      </c>
      <c r="F11" s="6">
        <f t="shared" si="1"/>
        <v>431.5746666666667</v>
      </c>
    </row>
    <row r="12" spans="1:6" x14ac:dyDescent="0.2">
      <c r="A12" s="6">
        <v>6673</v>
      </c>
      <c r="B12" s="6">
        <v>339</v>
      </c>
      <c r="C12" s="6">
        <v>750</v>
      </c>
      <c r="D12" s="6">
        <v>751</v>
      </c>
      <c r="E12" s="6">
        <f t="shared" si="0"/>
        <v>1.0013333333333334</v>
      </c>
      <c r="F12" s="6">
        <f t="shared" si="1"/>
        <v>339.452</v>
      </c>
    </row>
    <row r="13" spans="1:6" x14ac:dyDescent="0.2">
      <c r="A13" s="6">
        <v>6682</v>
      </c>
      <c r="B13" s="6">
        <v>450</v>
      </c>
      <c r="C13" s="6">
        <f>249.4*3</f>
        <v>748.2</v>
      </c>
      <c r="D13" s="6">
        <v>747</v>
      </c>
      <c r="E13" s="6">
        <f t="shared" si="0"/>
        <v>0.9983961507618283</v>
      </c>
      <c r="F13" s="6">
        <f t="shared" si="1"/>
        <v>449.27826784282274</v>
      </c>
    </row>
    <row r="14" spans="1:6" x14ac:dyDescent="0.2">
      <c r="A14" s="6">
        <v>6689</v>
      </c>
      <c r="B14" s="6">
        <f>65+84+84</f>
        <v>233</v>
      </c>
      <c r="C14" s="6">
        <f>217+249+246</f>
        <v>712</v>
      </c>
      <c r="D14" s="6">
        <v>711</v>
      </c>
      <c r="E14" s="6">
        <f t="shared" si="0"/>
        <v>0.9985955056179775</v>
      </c>
      <c r="F14" s="6">
        <f t="shared" si="1"/>
        <v>232.67275280898875</v>
      </c>
    </row>
    <row r="15" spans="1:6" x14ac:dyDescent="0.2">
      <c r="A15" s="6">
        <v>6690</v>
      </c>
      <c r="B15" s="6">
        <v>235</v>
      </c>
      <c r="C15" s="51">
        <v>750</v>
      </c>
      <c r="D15" s="51">
        <v>751</v>
      </c>
      <c r="E15" s="6">
        <f t="shared" si="0"/>
        <v>1.0013333333333334</v>
      </c>
      <c r="F15" s="6">
        <f t="shared" si="1"/>
        <v>235.31333333333336</v>
      </c>
    </row>
    <row r="16" spans="1:6" x14ac:dyDescent="0.2">
      <c r="A16" s="6">
        <v>6692</v>
      </c>
      <c r="B16" s="6">
        <f>750-180</f>
        <v>570</v>
      </c>
      <c r="C16" s="51">
        <v>750</v>
      </c>
      <c r="D16" s="51">
        <v>751</v>
      </c>
      <c r="E16" s="6">
        <f t="shared" si="0"/>
        <v>1.0013333333333334</v>
      </c>
      <c r="F16" s="6">
        <f t="shared" si="1"/>
        <v>570.76</v>
      </c>
    </row>
    <row r="17" spans="1:6" x14ac:dyDescent="0.2">
      <c r="A17" s="6">
        <v>6694</v>
      </c>
      <c r="B17" s="6">
        <v>390</v>
      </c>
      <c r="C17" s="51">
        <v>750</v>
      </c>
      <c r="D17" s="51">
        <v>751</v>
      </c>
      <c r="E17" s="6">
        <f t="shared" si="0"/>
        <v>1.0013333333333334</v>
      </c>
      <c r="F17" s="6">
        <f t="shared" si="1"/>
        <v>390.52000000000004</v>
      </c>
    </row>
    <row r="18" spans="1:6" x14ac:dyDescent="0.2">
      <c r="A18" s="6">
        <v>6695</v>
      </c>
      <c r="B18" s="6">
        <v>415</v>
      </c>
      <c r="C18" s="51">
        <v>745</v>
      </c>
      <c r="D18" s="51">
        <v>744</v>
      </c>
      <c r="E18" s="6">
        <f t="shared" si="0"/>
        <v>0.99865771812080539</v>
      </c>
      <c r="F18" s="6">
        <f t="shared" si="1"/>
        <v>414.44295302013421</v>
      </c>
    </row>
    <row r="19" spans="1:6" x14ac:dyDescent="0.2">
      <c r="A19" s="6">
        <v>6696</v>
      </c>
      <c r="B19" s="6">
        <v>277</v>
      </c>
      <c r="C19" s="51">
        <v>719</v>
      </c>
      <c r="D19" s="51">
        <v>720</v>
      </c>
      <c r="E19" s="6">
        <f t="shared" si="0"/>
        <v>1.0013908205841446</v>
      </c>
      <c r="F19" s="6">
        <f t="shared" si="1"/>
        <v>277.38525730180805</v>
      </c>
    </row>
    <row r="20" spans="1:6" x14ac:dyDescent="0.2">
      <c r="A20" s="6">
        <v>6699</v>
      </c>
      <c r="B20" s="6">
        <v>400</v>
      </c>
      <c r="C20" s="51">
        <v>750</v>
      </c>
      <c r="D20" s="51">
        <v>751</v>
      </c>
      <c r="E20" s="6">
        <f t="shared" si="0"/>
        <v>1.0013333333333334</v>
      </c>
      <c r="F20" s="6">
        <f t="shared" si="1"/>
        <v>400.53333333333336</v>
      </c>
    </row>
    <row r="21" spans="1:6" x14ac:dyDescent="0.2">
      <c r="A21" s="6">
        <v>6702</v>
      </c>
      <c r="B21" s="6">
        <v>403</v>
      </c>
      <c r="C21" s="51">
        <v>749</v>
      </c>
      <c r="D21" s="51">
        <v>751</v>
      </c>
      <c r="E21" s="6">
        <f t="shared" si="0"/>
        <v>1.0026702269692924</v>
      </c>
      <c r="F21" s="6">
        <f t="shared" si="1"/>
        <v>404.07610146862487</v>
      </c>
    </row>
    <row r="22" spans="1:6" x14ac:dyDescent="0.2">
      <c r="A22" s="6">
        <v>6703</v>
      </c>
      <c r="B22" s="6">
        <v>274</v>
      </c>
      <c r="C22" s="51">
        <v>750</v>
      </c>
      <c r="D22" s="51">
        <v>751</v>
      </c>
      <c r="E22" s="6">
        <f t="shared" si="0"/>
        <v>1.0013333333333334</v>
      </c>
      <c r="F22" s="6">
        <f t="shared" si="1"/>
        <v>274.36533333333335</v>
      </c>
    </row>
    <row r="23" spans="1:6" x14ac:dyDescent="0.2">
      <c r="A23" s="6">
        <v>6704</v>
      </c>
      <c r="B23" s="6">
        <v>330</v>
      </c>
      <c r="C23" s="51">
        <v>750</v>
      </c>
      <c r="D23" s="51">
        <v>751</v>
      </c>
      <c r="E23" s="6">
        <f t="shared" si="0"/>
        <v>1.0013333333333334</v>
      </c>
      <c r="F23" s="6">
        <f t="shared" si="1"/>
        <v>330.44</v>
      </c>
    </row>
    <row r="24" spans="1:6" x14ac:dyDescent="0.2">
      <c r="A24" s="6">
        <v>6710</v>
      </c>
      <c r="B24" s="6">
        <v>336</v>
      </c>
      <c r="C24" s="51">
        <v>750</v>
      </c>
      <c r="D24" s="51">
        <v>751</v>
      </c>
      <c r="E24" s="6">
        <f t="shared" si="0"/>
        <v>1.0013333333333334</v>
      </c>
      <c r="F24" s="6">
        <f t="shared" si="1"/>
        <v>336.44800000000004</v>
      </c>
    </row>
    <row r="25" spans="1:6" x14ac:dyDescent="0.2">
      <c r="A25" s="6">
        <v>6712</v>
      </c>
      <c r="B25" s="6">
        <v>330</v>
      </c>
      <c r="C25" s="51">
        <v>750</v>
      </c>
      <c r="D25" s="51">
        <v>751</v>
      </c>
      <c r="E25" s="6">
        <f t="shared" si="0"/>
        <v>1.0013333333333334</v>
      </c>
      <c r="F25" s="6">
        <f t="shared" si="1"/>
        <v>330.44</v>
      </c>
    </row>
    <row r="26" spans="1:6" x14ac:dyDescent="0.2">
      <c r="A26" s="6">
        <v>6713</v>
      </c>
      <c r="B26" s="6">
        <v>405</v>
      </c>
      <c r="C26" s="51">
        <v>750</v>
      </c>
      <c r="D26" s="51">
        <v>751</v>
      </c>
      <c r="E26" s="6">
        <f t="shared" si="0"/>
        <v>1.0013333333333334</v>
      </c>
      <c r="F26" s="6">
        <f t="shared" si="1"/>
        <v>405.54</v>
      </c>
    </row>
    <row r="27" spans="1:6" x14ac:dyDescent="0.2">
      <c r="A27" s="6">
        <v>6720</v>
      </c>
      <c r="B27" s="6">
        <v>310</v>
      </c>
      <c r="C27" s="6">
        <f>164+158+178</f>
        <v>500</v>
      </c>
      <c r="D27" s="51">
        <v>500</v>
      </c>
      <c r="E27" s="6">
        <f t="shared" si="0"/>
        <v>1</v>
      </c>
      <c r="F27" s="6">
        <f t="shared" si="1"/>
        <v>310</v>
      </c>
    </row>
    <row r="28" spans="1:6" x14ac:dyDescent="0.2">
      <c r="A28" s="6">
        <v>6722</v>
      </c>
      <c r="B28" s="6">
        <v>350</v>
      </c>
      <c r="C28" s="6">
        <v>705</v>
      </c>
      <c r="D28" s="51">
        <v>706</v>
      </c>
      <c r="E28" s="6">
        <f t="shared" si="0"/>
        <v>1.0014184397163119</v>
      </c>
      <c r="F28" s="6">
        <f t="shared" si="1"/>
        <v>350.49645390070918</v>
      </c>
    </row>
    <row r="29" spans="1:6" x14ac:dyDescent="0.2">
      <c r="A29" s="6">
        <v>6723</v>
      </c>
      <c r="B29" s="6">
        <v>380</v>
      </c>
      <c r="C29" s="6">
        <v>745</v>
      </c>
      <c r="D29" s="51">
        <v>744</v>
      </c>
      <c r="E29" s="6">
        <f t="shared" si="0"/>
        <v>0.99865771812080539</v>
      </c>
      <c r="F29" s="6">
        <f t="shared" si="1"/>
        <v>379.48993288590606</v>
      </c>
    </row>
    <row r="30" spans="1:6" x14ac:dyDescent="0.2">
      <c r="A30" s="6">
        <v>6727</v>
      </c>
      <c r="B30" s="6">
        <v>328</v>
      </c>
      <c r="C30" s="6">
        <v>662</v>
      </c>
      <c r="D30" s="51">
        <v>663</v>
      </c>
      <c r="E30" s="6">
        <f t="shared" si="0"/>
        <v>1.0015105740181269</v>
      </c>
      <c r="F30" s="6">
        <f t="shared" si="1"/>
        <v>328.49546827794563</v>
      </c>
    </row>
    <row r="31" spans="1:6" x14ac:dyDescent="0.2">
      <c r="A31" s="6">
        <v>6733</v>
      </c>
      <c r="B31" s="6">
        <v>475</v>
      </c>
      <c r="C31" s="6">
        <v>748</v>
      </c>
      <c r="D31" s="51">
        <v>747</v>
      </c>
      <c r="E31" s="6">
        <f t="shared" si="0"/>
        <v>0.99866310160427807</v>
      </c>
      <c r="F31" s="6">
        <f t="shared" si="1"/>
        <v>474.36497326203209</v>
      </c>
    </row>
    <row r="32" spans="1:6" x14ac:dyDescent="0.2">
      <c r="A32" s="6">
        <v>6740</v>
      </c>
      <c r="B32" s="6">
        <v>375</v>
      </c>
      <c r="C32" s="6">
        <v>750</v>
      </c>
      <c r="D32" s="51">
        <v>751</v>
      </c>
      <c r="E32" s="6">
        <f t="shared" si="0"/>
        <v>1.0013333333333334</v>
      </c>
      <c r="F32" s="6">
        <f t="shared" si="1"/>
        <v>375.5</v>
      </c>
    </row>
    <row r="33" spans="1:6" x14ac:dyDescent="0.2">
      <c r="A33" s="6">
        <v>6744</v>
      </c>
      <c r="B33" s="51">
        <f>750-106</f>
        <v>644</v>
      </c>
      <c r="C33" s="6">
        <v>750</v>
      </c>
      <c r="D33" s="51">
        <v>751</v>
      </c>
      <c r="E33" s="6">
        <f t="shared" si="0"/>
        <v>1.0013333333333334</v>
      </c>
      <c r="F33" s="6">
        <f t="shared" si="1"/>
        <v>644.85866666666675</v>
      </c>
    </row>
    <row r="34" spans="1:6" x14ac:dyDescent="0.2">
      <c r="A34" s="6">
        <v>6747</v>
      </c>
      <c r="B34" s="51">
        <v>230</v>
      </c>
      <c r="C34" s="6">
        <v>470</v>
      </c>
      <c r="D34" s="51">
        <v>471</v>
      </c>
      <c r="E34" s="6">
        <f t="shared" si="0"/>
        <v>1.0021276595744681</v>
      </c>
      <c r="F34" s="6">
        <f t="shared" si="1"/>
        <v>230.48936170212767</v>
      </c>
    </row>
    <row r="35" spans="1:6" x14ac:dyDescent="0.2">
      <c r="A35" s="6">
        <v>6750</v>
      </c>
      <c r="B35" s="51">
        <v>305</v>
      </c>
      <c r="C35" s="6">
        <v>621</v>
      </c>
      <c r="D35" s="51">
        <v>630</v>
      </c>
      <c r="E35" s="6">
        <f t="shared" si="0"/>
        <v>1.0144927536231885</v>
      </c>
      <c r="F35" s="6">
        <f t="shared" si="1"/>
        <v>309.4202898550725</v>
      </c>
    </row>
    <row r="36" spans="1:6" x14ac:dyDescent="0.2">
      <c r="A36" s="6">
        <v>6752</v>
      </c>
      <c r="B36" s="6">
        <f>750-232</f>
        <v>518</v>
      </c>
      <c r="C36" s="6">
        <v>750</v>
      </c>
      <c r="D36" s="51">
        <v>751</v>
      </c>
      <c r="E36" s="6">
        <f t="shared" si="0"/>
        <v>1.0013333333333334</v>
      </c>
      <c r="F36" s="6">
        <f t="shared" si="1"/>
        <v>518.69066666666674</v>
      </c>
    </row>
    <row r="37" spans="1:6" x14ac:dyDescent="0.2">
      <c r="A37" s="6">
        <v>6757</v>
      </c>
      <c r="B37" s="6">
        <v>260</v>
      </c>
      <c r="C37" s="6">
        <v>660</v>
      </c>
      <c r="D37" s="51">
        <v>660</v>
      </c>
      <c r="E37" s="6">
        <f t="shared" si="0"/>
        <v>1</v>
      </c>
      <c r="F37" s="6">
        <f t="shared" si="1"/>
        <v>260</v>
      </c>
    </row>
    <row r="38" spans="1:6" x14ac:dyDescent="0.2">
      <c r="A38" s="6">
        <v>6758</v>
      </c>
      <c r="B38" s="6">
        <f>145+226+172</f>
        <v>543</v>
      </c>
      <c r="C38" s="6">
        <f>259+414+303</f>
        <v>976</v>
      </c>
      <c r="D38" s="51">
        <v>741</v>
      </c>
      <c r="E38" s="6">
        <f t="shared" si="0"/>
        <v>0.75922131147540983</v>
      </c>
      <c r="F38" s="6">
        <f t="shared" si="1"/>
        <v>412.25717213114751</v>
      </c>
    </row>
    <row r="39" spans="1:6" x14ac:dyDescent="0.2">
      <c r="A39" s="6">
        <v>6760</v>
      </c>
      <c r="B39" s="6">
        <f>126+126+125</f>
        <v>377</v>
      </c>
      <c r="C39" s="6">
        <v>751</v>
      </c>
      <c r="D39" s="51">
        <v>751</v>
      </c>
      <c r="E39" s="6">
        <f t="shared" si="0"/>
        <v>1</v>
      </c>
      <c r="F39" s="6">
        <f t="shared" si="1"/>
        <v>377</v>
      </c>
    </row>
    <row r="40" spans="1:6" x14ac:dyDescent="0.2">
      <c r="A40" s="6">
        <v>6762</v>
      </c>
      <c r="B40" s="6">
        <v>375</v>
      </c>
      <c r="C40" s="6">
        <v>750</v>
      </c>
      <c r="D40" s="51">
        <v>751</v>
      </c>
      <c r="E40" s="6">
        <f t="shared" si="0"/>
        <v>1.0013333333333334</v>
      </c>
      <c r="F40" s="6">
        <f t="shared" si="1"/>
        <v>375.5</v>
      </c>
    </row>
    <row r="41" spans="1:6" x14ac:dyDescent="0.2">
      <c r="A41" s="6">
        <v>6765</v>
      </c>
      <c r="B41" s="6">
        <v>382</v>
      </c>
      <c r="C41" s="6">
        <v>1003</v>
      </c>
      <c r="D41" s="51">
        <v>751</v>
      </c>
      <c r="E41" s="6">
        <f t="shared" si="0"/>
        <v>0.74875373878364904</v>
      </c>
      <c r="F41" s="6">
        <f t="shared" si="1"/>
        <v>286.02392821535392</v>
      </c>
    </row>
    <row r="42" spans="1:6" x14ac:dyDescent="0.2">
      <c r="A42" s="6">
        <v>6772</v>
      </c>
      <c r="B42" s="6">
        <v>345</v>
      </c>
      <c r="C42" s="6">
        <v>680</v>
      </c>
      <c r="D42" s="51">
        <v>681</v>
      </c>
      <c r="E42" s="6">
        <f t="shared" si="0"/>
        <v>1.0014705882352941</v>
      </c>
      <c r="F42" s="6">
        <f t="shared" si="1"/>
        <v>345.50735294117646</v>
      </c>
    </row>
    <row r="43" spans="1:6" x14ac:dyDescent="0.2">
      <c r="A43" s="6">
        <v>6776</v>
      </c>
      <c r="B43" s="6">
        <f>170+195</f>
        <v>365</v>
      </c>
      <c r="C43" s="6">
        <f>189.5+194.5+204.5</f>
        <v>588.5</v>
      </c>
      <c r="D43" s="51">
        <v>591</v>
      </c>
      <c r="E43" s="6">
        <f t="shared" si="0"/>
        <v>1.0042480883602378</v>
      </c>
      <c r="F43" s="6">
        <f t="shared" si="1"/>
        <v>366.55055225148681</v>
      </c>
    </row>
    <row r="44" spans="1:6" x14ac:dyDescent="0.2">
      <c r="A44" s="6">
        <v>6779</v>
      </c>
      <c r="B44" s="6">
        <v>390</v>
      </c>
      <c r="C44" s="6">
        <v>750</v>
      </c>
      <c r="D44" s="51">
        <v>751</v>
      </c>
      <c r="E44" s="6">
        <f t="shared" si="0"/>
        <v>1.0013333333333334</v>
      </c>
      <c r="F44" s="6">
        <f t="shared" si="1"/>
        <v>390.52000000000004</v>
      </c>
    </row>
    <row r="45" spans="1:6" x14ac:dyDescent="0.2">
      <c r="A45" s="6">
        <v>6780</v>
      </c>
      <c r="B45" s="6">
        <v>230</v>
      </c>
      <c r="C45" s="6">
        <f>211+247+234</f>
        <v>692</v>
      </c>
      <c r="D45" s="51">
        <v>693</v>
      </c>
      <c r="E45" s="6">
        <f t="shared" si="0"/>
        <v>1.0014450867052023</v>
      </c>
      <c r="F45" s="6">
        <f t="shared" si="1"/>
        <v>230.33236994219652</v>
      </c>
    </row>
    <row r="46" spans="1:6" x14ac:dyDescent="0.2">
      <c r="A46" s="6">
        <v>6781</v>
      </c>
      <c r="B46" s="6">
        <v>177</v>
      </c>
      <c r="C46" s="6">
        <v>753</v>
      </c>
      <c r="D46" s="51">
        <v>753</v>
      </c>
      <c r="E46" s="6">
        <f t="shared" si="0"/>
        <v>1</v>
      </c>
      <c r="F46" s="6">
        <f t="shared" si="1"/>
        <v>177</v>
      </c>
    </row>
    <row r="47" spans="1:6" x14ac:dyDescent="0.2">
      <c r="A47" s="6">
        <v>6782</v>
      </c>
      <c r="B47" s="6">
        <v>345</v>
      </c>
      <c r="C47" s="6">
        <v>755</v>
      </c>
      <c r="D47" s="51">
        <v>756</v>
      </c>
      <c r="E47" s="6">
        <f t="shared" si="0"/>
        <v>1.0013245033112583</v>
      </c>
      <c r="F47" s="6">
        <f t="shared" si="1"/>
        <v>345.45695364238412</v>
      </c>
    </row>
    <row r="48" spans="1:6" x14ac:dyDescent="0.2">
      <c r="A48" s="6">
        <v>6787</v>
      </c>
      <c r="B48" s="6">
        <v>375</v>
      </c>
      <c r="C48" s="6">
        <v>750</v>
      </c>
      <c r="D48" s="51">
        <v>751</v>
      </c>
      <c r="E48" s="6">
        <f t="shared" si="0"/>
        <v>1.0013333333333334</v>
      </c>
      <c r="F48" s="6">
        <f t="shared" si="1"/>
        <v>375.5</v>
      </c>
    </row>
    <row r="49" spans="3:7" x14ac:dyDescent="0.2">
      <c r="C49" s="6">
        <f>SUM(C2:C48)</f>
        <v>34422.699999999997</v>
      </c>
      <c r="D49" s="6">
        <f>SUM(D2:D48)</f>
        <v>33972</v>
      </c>
      <c r="E49" s="6">
        <f>AVERAGE(E2:E48)</f>
        <v>0.99065894012114719</v>
      </c>
      <c r="F49" s="6">
        <f>SUM(F2:F48)</f>
        <v>16905.467080511455</v>
      </c>
      <c r="G49" s="6">
        <f>D49-F49</f>
        <v>17066.532919488545</v>
      </c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R35" sqref="R35"/>
    </sheetView>
  </sheetViews>
  <sheetFormatPr defaultRowHeight="14.25" x14ac:dyDescent="0.2"/>
  <cols>
    <col min="1" max="1" width="5.625" customWidth="1"/>
    <col min="2" max="2" width="7" customWidth="1"/>
    <col min="3" max="3" width="7.5" customWidth="1"/>
    <col min="4" max="4" width="11.125" customWidth="1"/>
    <col min="5" max="6" width="9.25" style="6" customWidth="1"/>
    <col min="7" max="7" width="11.75" customWidth="1"/>
    <col min="8" max="8" width="10" customWidth="1"/>
  </cols>
  <sheetData>
    <row r="1" spans="1:17" x14ac:dyDescent="0.2">
      <c r="A1" t="s">
        <v>655</v>
      </c>
      <c r="B1" t="s">
        <v>656</v>
      </c>
      <c r="C1" t="s">
        <v>658</v>
      </c>
      <c r="D1" t="s">
        <v>659</v>
      </c>
      <c r="E1" s="6" t="s">
        <v>661</v>
      </c>
      <c r="F1" s="6" t="s">
        <v>662</v>
      </c>
      <c r="G1" t="s">
        <v>660</v>
      </c>
      <c r="H1" t="s">
        <v>657</v>
      </c>
      <c r="I1" t="s">
        <v>663</v>
      </c>
      <c r="J1" t="s">
        <v>664</v>
      </c>
      <c r="K1" s="6" t="s">
        <v>658</v>
      </c>
      <c r="L1" s="6" t="s">
        <v>659</v>
      </c>
      <c r="M1" s="6" t="s">
        <v>661</v>
      </c>
      <c r="N1" s="6" t="s">
        <v>662</v>
      </c>
      <c r="O1" s="6" t="s">
        <v>660</v>
      </c>
      <c r="P1" t="s">
        <v>918</v>
      </c>
    </row>
    <row r="2" spans="1:17" x14ac:dyDescent="0.2">
      <c r="A2">
        <v>6206</v>
      </c>
      <c r="B2">
        <v>4</v>
      </c>
      <c r="C2">
        <f>4+4+1+1</f>
        <v>10</v>
      </c>
      <c r="D2">
        <v>5</v>
      </c>
      <c r="E2" s="6">
        <v>4</v>
      </c>
      <c r="F2" s="6">
        <f>126*4+300*2+450+500</f>
        <v>2054</v>
      </c>
      <c r="G2">
        <f>200*4+60*4+100+400+4*85</f>
        <v>1880</v>
      </c>
      <c r="H2">
        <f>926+926+1076+1126</f>
        <v>4054</v>
      </c>
      <c r="I2">
        <v>3035</v>
      </c>
      <c r="J2">
        <f>I2/H2</f>
        <v>0.74864331524420324</v>
      </c>
      <c r="K2">
        <f>C2*$J2</f>
        <v>7.4864331524420322</v>
      </c>
      <c r="L2" s="6">
        <f>D2*$J2</f>
        <v>3.7432165762210161</v>
      </c>
      <c r="M2" s="6">
        <f>E2*$J2</f>
        <v>2.994573260976813</v>
      </c>
      <c r="N2" s="6">
        <f>F2*$J2</f>
        <v>1537.7133695115936</v>
      </c>
      <c r="O2" s="6">
        <f>G2*$J2</f>
        <v>1407.4494326591021</v>
      </c>
      <c r="P2" s="6">
        <f>I2-O2</f>
        <v>1627.5505673408979</v>
      </c>
      <c r="Q2" s="6"/>
    </row>
    <row r="3" spans="1:17" x14ac:dyDescent="0.2">
      <c r="A3">
        <v>6218</v>
      </c>
      <c r="B3">
        <v>4</v>
      </c>
      <c r="C3">
        <f>1.4*4</f>
        <v>5.6</v>
      </c>
      <c r="D3">
        <f>1.4*4</f>
        <v>5.6</v>
      </c>
      <c r="E3" s="6">
        <f>0.9*4</f>
        <v>3.6</v>
      </c>
      <c r="F3" s="6">
        <f>960+989+1024+1057</f>
        <v>4030</v>
      </c>
      <c r="G3">
        <f>245*2</f>
        <v>490</v>
      </c>
      <c r="H3">
        <f>1664+1891+1901+1890</f>
        <v>7346</v>
      </c>
      <c r="I3">
        <v>4109</v>
      </c>
      <c r="J3" s="6">
        <f t="shared" ref="J3:J42" si="0">I3/H3</f>
        <v>0.55935202831472908</v>
      </c>
      <c r="K3" s="6">
        <f t="shared" ref="K3:K42" si="1">C3*$J3</f>
        <v>3.1323713585624828</v>
      </c>
      <c r="L3" s="6">
        <f t="shared" ref="L3:L42" si="2">D3*$J3</f>
        <v>3.1323713585624828</v>
      </c>
      <c r="M3" s="6">
        <f t="shared" ref="M3:M42" si="3">E3*$J3</f>
        <v>2.0136673019330247</v>
      </c>
      <c r="N3" s="6">
        <f t="shared" ref="N3:N42" si="4">F3*$J3</f>
        <v>2254.1886741083581</v>
      </c>
      <c r="O3" s="6">
        <f t="shared" ref="O3:O42" si="5">G3*$J3</f>
        <v>274.08249387421722</v>
      </c>
      <c r="P3" s="6">
        <f t="shared" ref="P3:P42" si="6">I3-O3</f>
        <v>3834.9175061257829</v>
      </c>
    </row>
    <row r="4" spans="1:17" x14ac:dyDescent="0.2">
      <c r="A4">
        <v>6241</v>
      </c>
      <c r="B4">
        <v>4</v>
      </c>
      <c r="C4">
        <f>4+0.08*4</f>
        <v>4.32</v>
      </c>
      <c r="D4" s="6">
        <f>4+0.08*4</f>
        <v>4.32</v>
      </c>
      <c r="E4" s="6">
        <v>0</v>
      </c>
      <c r="F4" s="6">
        <v>2525</v>
      </c>
      <c r="G4">
        <v>60</v>
      </c>
      <c r="H4">
        <f>1216+1206+1096+1101</f>
        <v>4619</v>
      </c>
      <c r="I4">
        <v>3453</v>
      </c>
      <c r="J4" s="6">
        <f t="shared" si="0"/>
        <v>0.74756440788049361</v>
      </c>
      <c r="K4" s="6">
        <f t="shared" si="1"/>
        <v>3.2294782420437325</v>
      </c>
      <c r="L4" s="6">
        <f t="shared" si="2"/>
        <v>3.2294782420437325</v>
      </c>
      <c r="M4" s="6">
        <f t="shared" si="3"/>
        <v>0</v>
      </c>
      <c r="N4" s="6">
        <f t="shared" si="4"/>
        <v>1887.6001298982465</v>
      </c>
      <c r="O4" s="6">
        <f t="shared" si="5"/>
        <v>44.853864472829613</v>
      </c>
      <c r="P4" s="6">
        <f t="shared" si="6"/>
        <v>3408.1461355271704</v>
      </c>
    </row>
    <row r="5" spans="1:17" x14ac:dyDescent="0.2">
      <c r="A5">
        <v>6290</v>
      </c>
      <c r="B5">
        <v>5</v>
      </c>
      <c r="C5">
        <f>1.45*5</f>
        <v>7.25</v>
      </c>
      <c r="D5" s="6">
        <f>1.45*5</f>
        <v>7.25</v>
      </c>
      <c r="E5" s="6">
        <f>0.8*5</f>
        <v>4</v>
      </c>
      <c r="F5" s="6">
        <f>1494+3*1455+1360</f>
        <v>7219</v>
      </c>
      <c r="G5">
        <f>85+167+282</f>
        <v>534</v>
      </c>
      <c r="H5">
        <f>1878+1640+1757+1899+1472</f>
        <v>8646</v>
      </c>
      <c r="I5">
        <v>4039</v>
      </c>
      <c r="J5" s="6">
        <f t="shared" si="0"/>
        <v>0.46715244043488319</v>
      </c>
      <c r="K5" s="6">
        <f t="shared" si="1"/>
        <v>3.3868551931529032</v>
      </c>
      <c r="L5" s="6">
        <f t="shared" si="2"/>
        <v>3.3868551931529032</v>
      </c>
      <c r="M5" s="6">
        <f t="shared" si="3"/>
        <v>1.8686097617395327</v>
      </c>
      <c r="N5" s="6">
        <f t="shared" si="4"/>
        <v>3372.3734674994216</v>
      </c>
      <c r="O5" s="6">
        <f t="shared" si="5"/>
        <v>249.45940319222763</v>
      </c>
      <c r="P5" s="6">
        <f t="shared" si="6"/>
        <v>3789.5405968077725</v>
      </c>
    </row>
    <row r="6" spans="1:17" x14ac:dyDescent="0.2">
      <c r="A6">
        <v>6310</v>
      </c>
      <c r="B6">
        <v>3</v>
      </c>
      <c r="C6">
        <v>5</v>
      </c>
      <c r="D6">
        <v>5</v>
      </c>
      <c r="E6" s="6">
        <v>3</v>
      </c>
      <c r="F6" s="6">
        <f>1150*2+500</f>
        <v>2800</v>
      </c>
      <c r="G6">
        <f>270</f>
        <v>270</v>
      </c>
      <c r="H6" s="51">
        <f>2207+2183+1170</f>
        <v>5560</v>
      </c>
      <c r="I6">
        <v>2287</v>
      </c>
      <c r="J6" s="6">
        <f t="shared" si="0"/>
        <v>0.41133093525179854</v>
      </c>
      <c r="K6" s="6">
        <f t="shared" si="1"/>
        <v>2.0566546762589928</v>
      </c>
      <c r="L6" s="6">
        <f t="shared" si="2"/>
        <v>2.0566546762589928</v>
      </c>
      <c r="M6" s="6">
        <f t="shared" si="3"/>
        <v>1.2339928057553955</v>
      </c>
      <c r="N6" s="6">
        <f t="shared" si="4"/>
        <v>1151.7266187050359</v>
      </c>
      <c r="O6" s="6">
        <f t="shared" si="5"/>
        <v>111.0593525179856</v>
      </c>
      <c r="P6" s="6">
        <f t="shared" si="6"/>
        <v>2175.9406474820144</v>
      </c>
    </row>
    <row r="7" spans="1:17" x14ac:dyDescent="0.2">
      <c r="A7">
        <v>6311</v>
      </c>
      <c r="B7">
        <v>5</v>
      </c>
      <c r="C7">
        <f>1.8*5</f>
        <v>9</v>
      </c>
      <c r="D7" s="6">
        <f>1.8*5</f>
        <v>9</v>
      </c>
      <c r="E7" s="6">
        <v>5</v>
      </c>
      <c r="F7" s="6">
        <f>400*5</f>
        <v>2000</v>
      </c>
      <c r="G7">
        <v>590</v>
      </c>
      <c r="H7">
        <f>1173*5</f>
        <v>5865</v>
      </c>
      <c r="I7">
        <v>3078</v>
      </c>
      <c r="J7" s="6">
        <f t="shared" si="0"/>
        <v>0.5248081841432225</v>
      </c>
      <c r="K7" s="6">
        <f t="shared" si="1"/>
        <v>4.7232736572890026</v>
      </c>
      <c r="L7" s="6">
        <f t="shared" si="2"/>
        <v>4.7232736572890026</v>
      </c>
      <c r="M7" s="6">
        <f t="shared" si="3"/>
        <v>2.6240409207161126</v>
      </c>
      <c r="N7" s="6">
        <f t="shared" si="4"/>
        <v>1049.6163682864451</v>
      </c>
      <c r="O7" s="6">
        <f t="shared" si="5"/>
        <v>309.63682864450129</v>
      </c>
      <c r="P7" s="6">
        <f t="shared" si="6"/>
        <v>2768.3631713554987</v>
      </c>
    </row>
    <row r="8" spans="1:17" x14ac:dyDescent="0.2">
      <c r="A8">
        <v>6331</v>
      </c>
      <c r="B8">
        <v>5</v>
      </c>
      <c r="C8">
        <f>1.35*5</f>
        <v>6.75</v>
      </c>
      <c r="D8" s="6">
        <f>1.35*5</f>
        <v>6.75</v>
      </c>
      <c r="E8" s="6">
        <v>0</v>
      </c>
      <c r="F8" s="6">
        <f>1410+1452+1496+1542+1587</f>
        <v>7487</v>
      </c>
      <c r="G8">
        <f>143+285+285+238+60+30+60+60+90</f>
        <v>1251</v>
      </c>
      <c r="H8">
        <f>1635+1802+1946+1895+1712</f>
        <v>8990</v>
      </c>
      <c r="I8">
        <v>4018</v>
      </c>
      <c r="J8" s="6">
        <f t="shared" si="0"/>
        <v>0.44694104560622916</v>
      </c>
      <c r="K8" s="6">
        <f t="shared" si="1"/>
        <v>3.0168520578420468</v>
      </c>
      <c r="L8" s="6">
        <f t="shared" si="2"/>
        <v>3.0168520578420468</v>
      </c>
      <c r="M8" s="6">
        <f t="shared" si="3"/>
        <v>0</v>
      </c>
      <c r="N8" s="6">
        <f t="shared" si="4"/>
        <v>3346.2476084538375</v>
      </c>
      <c r="O8" s="6">
        <f t="shared" si="5"/>
        <v>559.12324805339267</v>
      </c>
      <c r="P8" s="6">
        <f t="shared" si="6"/>
        <v>3458.8767519466073</v>
      </c>
    </row>
    <row r="9" spans="1:17" x14ac:dyDescent="0.2">
      <c r="A9">
        <v>6334</v>
      </c>
      <c r="B9">
        <v>5</v>
      </c>
      <c r="C9">
        <f>2*5</f>
        <v>10</v>
      </c>
      <c r="D9">
        <v>10</v>
      </c>
      <c r="E9" s="6">
        <f>0.65*5</f>
        <v>3.25</v>
      </c>
      <c r="F9" s="6">
        <f>1863+1585+2011+2081+2155</f>
        <v>9695</v>
      </c>
      <c r="G9">
        <f>266+178+266+355+888+190</f>
        <v>2143</v>
      </c>
      <c r="H9">
        <f>2203+1823+2331+2490+3062</f>
        <v>11909</v>
      </c>
      <c r="I9">
        <v>6523</v>
      </c>
      <c r="J9" s="6">
        <f t="shared" si="0"/>
        <v>0.54773700562599714</v>
      </c>
      <c r="K9" s="6">
        <f t="shared" si="1"/>
        <v>5.4773700562599714</v>
      </c>
      <c r="L9" s="6">
        <f t="shared" si="2"/>
        <v>5.4773700562599714</v>
      </c>
      <c r="M9" s="6">
        <f t="shared" si="3"/>
        <v>1.7801452682844907</v>
      </c>
      <c r="N9" s="6">
        <f t="shared" si="4"/>
        <v>5310.3102695440421</v>
      </c>
      <c r="O9" s="6">
        <f t="shared" si="5"/>
        <v>1173.8004030565119</v>
      </c>
      <c r="P9" s="6">
        <f t="shared" si="6"/>
        <v>5349.1995969434884</v>
      </c>
    </row>
    <row r="10" spans="1:17" x14ac:dyDescent="0.2">
      <c r="A10">
        <v>6348</v>
      </c>
      <c r="B10">
        <v>5</v>
      </c>
      <c r="C10">
        <f>1.55*5</f>
        <v>7.75</v>
      </c>
      <c r="D10">
        <f>1.35*5</f>
        <v>6.75</v>
      </c>
      <c r="E10" s="6">
        <v>0</v>
      </c>
      <c r="F10" s="6">
        <f>1696*5-206*5-72*5-51*5</f>
        <v>6835</v>
      </c>
      <c r="G10">
        <f>206*5+72*5+51*5+350</f>
        <v>1995</v>
      </c>
      <c r="H10">
        <f>2020+2420+2156+2006+2100</f>
        <v>10702</v>
      </c>
      <c r="I10">
        <v>2649</v>
      </c>
      <c r="J10" s="6">
        <f t="shared" si="0"/>
        <v>0.24752382732199588</v>
      </c>
      <c r="K10" s="6">
        <f t="shared" si="1"/>
        <v>1.918309661745468</v>
      </c>
      <c r="L10" s="6">
        <f t="shared" si="2"/>
        <v>1.6707858344234721</v>
      </c>
      <c r="M10" s="6">
        <f t="shared" si="3"/>
        <v>0</v>
      </c>
      <c r="N10" s="6">
        <f t="shared" si="4"/>
        <v>1691.8253597458418</v>
      </c>
      <c r="O10" s="6">
        <f t="shared" si="5"/>
        <v>493.81003550738177</v>
      </c>
      <c r="P10" s="6">
        <f t="shared" si="6"/>
        <v>2155.1899644926184</v>
      </c>
    </row>
    <row r="11" spans="1:17" x14ac:dyDescent="0.2">
      <c r="A11">
        <v>6364</v>
      </c>
      <c r="B11">
        <v>4</v>
      </c>
      <c r="C11">
        <f>1.3*4</f>
        <v>5.2</v>
      </c>
      <c r="D11" s="6">
        <f>1.3*4</f>
        <v>5.2</v>
      </c>
      <c r="E11" s="6">
        <f>0.75*4</f>
        <v>3</v>
      </c>
      <c r="F11" s="6">
        <f>1390*4</f>
        <v>5560</v>
      </c>
      <c r="G11">
        <f>120+80+130+120+15+25+40+35+15+20+20+15+120+120+80+150+120</f>
        <v>1225</v>
      </c>
      <c r="H11">
        <f>1645+1695+1970+1980</f>
        <v>7290</v>
      </c>
      <c r="I11">
        <v>4017</v>
      </c>
      <c r="J11" s="6">
        <f t="shared" si="0"/>
        <v>0.55102880658436215</v>
      </c>
      <c r="K11" s="6">
        <f t="shared" si="1"/>
        <v>2.8653497942386834</v>
      </c>
      <c r="L11" s="6">
        <f t="shared" si="2"/>
        <v>2.8653497942386834</v>
      </c>
      <c r="M11" s="6">
        <f t="shared" si="3"/>
        <v>1.6530864197530866</v>
      </c>
      <c r="N11" s="6">
        <f t="shared" si="4"/>
        <v>3063.7201646090534</v>
      </c>
      <c r="O11" s="6">
        <f t="shared" si="5"/>
        <v>675.01028806584361</v>
      </c>
      <c r="P11" s="6">
        <f t="shared" si="6"/>
        <v>3341.9897119341563</v>
      </c>
    </row>
    <row r="12" spans="1:17" x14ac:dyDescent="0.2">
      <c r="A12">
        <v>6374</v>
      </c>
      <c r="B12">
        <v>3</v>
      </c>
      <c r="C12">
        <v>2.5</v>
      </c>
      <c r="D12">
        <v>2.5</v>
      </c>
      <c r="E12" s="6">
        <v>0</v>
      </c>
      <c r="F12" s="6">
        <f>807+982+175</f>
        <v>1964</v>
      </c>
      <c r="G12">
        <v>2718</v>
      </c>
      <c r="H12">
        <f>1176+1983+1808</f>
        <v>4967</v>
      </c>
      <c r="I12">
        <v>3551</v>
      </c>
      <c r="J12" s="6">
        <f t="shared" si="0"/>
        <v>0.71491846184819807</v>
      </c>
      <c r="K12" s="6">
        <f t="shared" si="1"/>
        <v>1.7872961546204951</v>
      </c>
      <c r="L12" s="6">
        <f t="shared" si="2"/>
        <v>1.7872961546204951</v>
      </c>
      <c r="M12" s="6">
        <f t="shared" si="3"/>
        <v>0</v>
      </c>
      <c r="N12" s="6">
        <f t="shared" si="4"/>
        <v>1404.0998590698609</v>
      </c>
      <c r="O12" s="6">
        <f t="shared" si="5"/>
        <v>1943.1483793034024</v>
      </c>
      <c r="P12" s="6">
        <f t="shared" si="6"/>
        <v>1607.8516206965976</v>
      </c>
    </row>
    <row r="13" spans="1:17" x14ac:dyDescent="0.2">
      <c r="A13">
        <v>6378</v>
      </c>
      <c r="B13">
        <v>4</v>
      </c>
      <c r="C13">
        <v>6.8</v>
      </c>
      <c r="D13">
        <v>5.8</v>
      </c>
      <c r="E13" s="6">
        <v>1</v>
      </c>
      <c r="F13" s="6">
        <f>1086+1108+1128+1152-(126+129+131+134)</f>
        <v>3954</v>
      </c>
      <c r="G13">
        <f>126+129+131+134+100</f>
        <v>620</v>
      </c>
      <c r="H13">
        <f>1609+1612+1633+1645</f>
        <v>6499</v>
      </c>
      <c r="I13">
        <v>2952</v>
      </c>
      <c r="J13" s="6">
        <f t="shared" si="0"/>
        <v>0.4542237267271888</v>
      </c>
      <c r="K13" s="6">
        <f t="shared" si="1"/>
        <v>3.088721341744884</v>
      </c>
      <c r="L13" s="6">
        <f t="shared" si="2"/>
        <v>2.6344976150176951</v>
      </c>
      <c r="M13" s="6">
        <f t="shared" si="3"/>
        <v>0.4542237267271888</v>
      </c>
      <c r="N13" s="6">
        <f t="shared" si="4"/>
        <v>1796.0006154793045</v>
      </c>
      <c r="O13" s="6">
        <f t="shared" si="5"/>
        <v>281.61871057085705</v>
      </c>
      <c r="P13" s="6">
        <f t="shared" si="6"/>
        <v>2670.3812894291432</v>
      </c>
    </row>
    <row r="14" spans="1:17" x14ac:dyDescent="0.2">
      <c r="A14">
        <v>6395</v>
      </c>
      <c r="B14">
        <v>5</v>
      </c>
      <c r="C14">
        <f>1.75*5</f>
        <v>8.75</v>
      </c>
      <c r="D14">
        <f>0.75*5</f>
        <v>3.75</v>
      </c>
      <c r="E14" s="6">
        <v>0</v>
      </c>
      <c r="F14" s="6">
        <f>704+726+747+770+793</f>
        <v>3740</v>
      </c>
      <c r="G14">
        <f>210+180+50+301+310+319+328+338</f>
        <v>2036</v>
      </c>
      <c r="H14">
        <f>2032+1225+1257+1290+1325</f>
        <v>7129</v>
      </c>
      <c r="I14">
        <v>5593</v>
      </c>
      <c r="J14" s="6">
        <f t="shared" si="0"/>
        <v>0.78454201150231451</v>
      </c>
      <c r="K14" s="6">
        <f t="shared" si="1"/>
        <v>6.8647426006452523</v>
      </c>
      <c r="L14" s="6">
        <f t="shared" si="2"/>
        <v>2.9420325431336796</v>
      </c>
      <c r="M14" s="6">
        <f t="shared" si="3"/>
        <v>0</v>
      </c>
      <c r="N14" s="6">
        <f t="shared" si="4"/>
        <v>2934.1871230186562</v>
      </c>
      <c r="O14" s="6">
        <f t="shared" si="5"/>
        <v>1597.3275354187124</v>
      </c>
      <c r="P14" s="6">
        <f t="shared" si="6"/>
        <v>3995.6724645812874</v>
      </c>
    </row>
    <row r="15" spans="1:17" x14ac:dyDescent="0.2">
      <c r="A15">
        <v>6399</v>
      </c>
      <c r="B15">
        <v>3</v>
      </c>
      <c r="C15">
        <f>1.4*3</f>
        <v>4.1999999999999993</v>
      </c>
      <c r="D15" s="6">
        <f>1.4*3</f>
        <v>4.1999999999999993</v>
      </c>
      <c r="E15" s="6">
        <v>3</v>
      </c>
      <c r="F15" s="6">
        <f>1395+1407+1529</f>
        <v>4331</v>
      </c>
      <c r="G15">
        <v>0</v>
      </c>
      <c r="H15">
        <f>1678+1501+1818</f>
        <v>4997</v>
      </c>
      <c r="I15">
        <v>3000</v>
      </c>
      <c r="J15" s="6">
        <f t="shared" si="0"/>
        <v>0.60036021612967783</v>
      </c>
      <c r="K15" s="6">
        <f t="shared" si="1"/>
        <v>2.5215129077446465</v>
      </c>
      <c r="L15" s="6">
        <f t="shared" si="2"/>
        <v>2.5215129077446465</v>
      </c>
      <c r="M15" s="6">
        <f t="shared" si="3"/>
        <v>1.8010806483890334</v>
      </c>
      <c r="N15" s="6">
        <f t="shared" si="4"/>
        <v>2600.1600960576347</v>
      </c>
      <c r="O15" s="6">
        <f t="shared" si="5"/>
        <v>0</v>
      </c>
      <c r="P15" s="6">
        <f t="shared" si="6"/>
        <v>3000</v>
      </c>
    </row>
    <row r="16" spans="1:17" x14ac:dyDescent="0.2">
      <c r="A16">
        <v>6402</v>
      </c>
      <c r="B16">
        <v>5</v>
      </c>
      <c r="C16">
        <f>1.4*5</f>
        <v>7</v>
      </c>
      <c r="D16">
        <f>1.35*5</f>
        <v>6.75</v>
      </c>
      <c r="E16" s="6">
        <v>4</v>
      </c>
      <c r="F16" s="6">
        <f>660+1075+1107+1142+739-(46+47+48+49+50)</f>
        <v>4483</v>
      </c>
      <c r="G16">
        <f>46+47+48+49+50+300+500+150+500</f>
        <v>1690</v>
      </c>
      <c r="H16">
        <f>1116+1532+1568+1606+1306</f>
        <v>7128</v>
      </c>
      <c r="I16">
        <v>3364</v>
      </c>
      <c r="J16" s="6">
        <f t="shared" si="0"/>
        <v>0.47194163860830529</v>
      </c>
      <c r="K16" s="6">
        <f t="shared" si="1"/>
        <v>3.3035914702581373</v>
      </c>
      <c r="L16" s="6">
        <f t="shared" si="2"/>
        <v>3.1856060606060606</v>
      </c>
      <c r="M16" s="6">
        <f t="shared" si="3"/>
        <v>1.8877665544332212</v>
      </c>
      <c r="N16" s="6">
        <f t="shared" si="4"/>
        <v>2115.7143658810328</v>
      </c>
      <c r="O16" s="6">
        <f t="shared" si="5"/>
        <v>797.58136924803591</v>
      </c>
      <c r="P16" s="6">
        <f t="shared" si="6"/>
        <v>2566.418630751964</v>
      </c>
    </row>
    <row r="17" spans="1:16" x14ac:dyDescent="0.2">
      <c r="A17">
        <v>6403</v>
      </c>
      <c r="B17">
        <v>3</v>
      </c>
      <c r="C17">
        <f>0.8*3</f>
        <v>2.4000000000000004</v>
      </c>
      <c r="D17" s="6">
        <f>0.8*3</f>
        <v>2.4000000000000004</v>
      </c>
      <c r="E17" s="6">
        <v>0</v>
      </c>
      <c r="F17" s="6">
        <f>1160+1168+1202</f>
        <v>3530</v>
      </c>
      <c r="G17">
        <f>794/2</f>
        <v>397</v>
      </c>
      <c r="H17">
        <f>1525+1490+1524</f>
        <v>4539</v>
      </c>
      <c r="I17">
        <v>3769</v>
      </c>
      <c r="J17" s="6">
        <f t="shared" si="0"/>
        <v>0.83035910993610929</v>
      </c>
      <c r="K17" s="6">
        <f t="shared" si="1"/>
        <v>1.9928618638466626</v>
      </c>
      <c r="L17" s="6">
        <f t="shared" si="2"/>
        <v>1.9928618638466626</v>
      </c>
      <c r="M17" s="6">
        <f t="shared" si="3"/>
        <v>0</v>
      </c>
      <c r="N17" s="6">
        <f t="shared" si="4"/>
        <v>2931.1676580744656</v>
      </c>
      <c r="O17" s="6">
        <f t="shared" si="5"/>
        <v>329.65256664463539</v>
      </c>
      <c r="P17" s="6">
        <f t="shared" si="6"/>
        <v>3439.3474333553645</v>
      </c>
    </row>
    <row r="18" spans="1:16" x14ac:dyDescent="0.2">
      <c r="A18">
        <v>6408</v>
      </c>
      <c r="B18">
        <v>3</v>
      </c>
      <c r="C18">
        <v>3.4</v>
      </c>
      <c r="D18">
        <v>3.4</v>
      </c>
      <c r="E18" s="6">
        <v>0</v>
      </c>
      <c r="F18" s="6">
        <f>1162+1191+1087</f>
        <v>3440</v>
      </c>
      <c r="G18">
        <f>201+262+84</f>
        <v>547</v>
      </c>
      <c r="H18">
        <f>1494+1538+1256</f>
        <v>4288</v>
      </c>
      <c r="I18">
        <v>4283</v>
      </c>
      <c r="J18" s="6">
        <f t="shared" si="0"/>
        <v>0.99883395522388063</v>
      </c>
      <c r="K18" s="6">
        <f t="shared" si="1"/>
        <v>3.3960354477611943</v>
      </c>
      <c r="L18" s="6">
        <f t="shared" si="2"/>
        <v>3.3960354477611943</v>
      </c>
      <c r="M18" s="6">
        <f t="shared" si="3"/>
        <v>0</v>
      </c>
      <c r="N18" s="6">
        <f t="shared" si="4"/>
        <v>3435.9888059701493</v>
      </c>
      <c r="O18" s="6">
        <f t="shared" si="5"/>
        <v>546.36217350746267</v>
      </c>
      <c r="P18" s="6">
        <f t="shared" si="6"/>
        <v>3736.6378264925374</v>
      </c>
    </row>
    <row r="19" spans="1:16" x14ac:dyDescent="0.2">
      <c r="A19">
        <v>6422</v>
      </c>
      <c r="B19">
        <v>5</v>
      </c>
      <c r="C19">
        <v>2.5</v>
      </c>
      <c r="D19">
        <v>2.5</v>
      </c>
      <c r="E19" s="6">
        <v>0</v>
      </c>
      <c r="F19" s="6">
        <f>570+590+610+630+1050</f>
        <v>3450</v>
      </c>
      <c r="G19">
        <f>355+430</f>
        <v>785</v>
      </c>
      <c r="H19">
        <f>781+875+803+844+1189</f>
        <v>4492</v>
      </c>
      <c r="I19">
        <v>3305</v>
      </c>
      <c r="J19" s="6">
        <f t="shared" si="0"/>
        <v>0.73575244879786283</v>
      </c>
      <c r="K19" s="6">
        <f t="shared" si="1"/>
        <v>1.839381121994657</v>
      </c>
      <c r="L19" s="6">
        <f t="shared" si="2"/>
        <v>1.839381121994657</v>
      </c>
      <c r="M19" s="6">
        <f t="shared" si="3"/>
        <v>0</v>
      </c>
      <c r="N19" s="6">
        <f t="shared" si="4"/>
        <v>2538.3459483526267</v>
      </c>
      <c r="O19" s="6">
        <f t="shared" si="5"/>
        <v>577.56567230632231</v>
      </c>
      <c r="P19" s="6">
        <f t="shared" si="6"/>
        <v>2727.4343276936779</v>
      </c>
    </row>
    <row r="20" spans="1:16" x14ac:dyDescent="0.2">
      <c r="A20">
        <v>6452</v>
      </c>
      <c r="B20">
        <v>3</v>
      </c>
      <c r="C20">
        <f>1.4*3+0.5</f>
        <v>4.6999999999999993</v>
      </c>
      <c r="D20" s="6">
        <f>1.4*3+0.5</f>
        <v>4.6999999999999993</v>
      </c>
      <c r="E20" s="6">
        <v>0</v>
      </c>
      <c r="F20" s="6">
        <f>1201+1561+1273</f>
        <v>4035</v>
      </c>
      <c r="G20">
        <v>570</v>
      </c>
      <c r="H20">
        <f>1278+1902+1514</f>
        <v>4694</v>
      </c>
      <c r="I20">
        <v>4505</v>
      </c>
      <c r="J20" s="6">
        <f t="shared" si="0"/>
        <v>0.95973583297827014</v>
      </c>
      <c r="K20" s="6">
        <f t="shared" si="1"/>
        <v>4.510758414997869</v>
      </c>
      <c r="L20" s="6">
        <f t="shared" si="2"/>
        <v>4.510758414997869</v>
      </c>
      <c r="M20" s="6">
        <f t="shared" si="3"/>
        <v>0</v>
      </c>
      <c r="N20" s="6">
        <f t="shared" si="4"/>
        <v>3872.53408606732</v>
      </c>
      <c r="O20" s="6">
        <f t="shared" si="5"/>
        <v>547.04942479761394</v>
      </c>
      <c r="P20" s="6">
        <f t="shared" si="6"/>
        <v>3957.9505752023861</v>
      </c>
    </row>
    <row r="21" spans="1:16" x14ac:dyDescent="0.2">
      <c r="A21">
        <v>6458</v>
      </c>
      <c r="B21">
        <v>4</v>
      </c>
      <c r="C21">
        <v>4</v>
      </c>
      <c r="D21">
        <v>4</v>
      </c>
      <c r="E21" s="6">
        <v>0</v>
      </c>
      <c r="F21" s="6">
        <f>416+1010+1040+1071</f>
        <v>3537</v>
      </c>
      <c r="G21">
        <f>136+159+122+29-18-29</f>
        <v>399</v>
      </c>
      <c r="H21">
        <f>552+1169+1162+1100</f>
        <v>3983</v>
      </c>
      <c r="I21">
        <v>3985</v>
      </c>
      <c r="J21" s="6">
        <f t="shared" si="0"/>
        <v>1.0005021340697966</v>
      </c>
      <c r="K21" s="6">
        <f t="shared" si="1"/>
        <v>4.0020085362791864</v>
      </c>
      <c r="L21" s="6">
        <f t="shared" si="2"/>
        <v>4.0020085362791864</v>
      </c>
      <c r="M21" s="6">
        <f t="shared" si="3"/>
        <v>0</v>
      </c>
      <c r="N21" s="6">
        <f t="shared" si="4"/>
        <v>3538.7760482048707</v>
      </c>
      <c r="O21" s="6">
        <f t="shared" si="5"/>
        <v>399.20035149384887</v>
      </c>
      <c r="P21" s="6">
        <f t="shared" si="6"/>
        <v>3585.7996485061512</v>
      </c>
    </row>
    <row r="22" spans="1:16" x14ac:dyDescent="0.2">
      <c r="A22">
        <v>6476</v>
      </c>
      <c r="B22">
        <v>4</v>
      </c>
      <c r="C22">
        <v>3</v>
      </c>
      <c r="D22">
        <v>3</v>
      </c>
      <c r="E22" s="6">
        <v>3</v>
      </c>
      <c r="F22" s="6">
        <f>733*3</f>
        <v>2199</v>
      </c>
      <c r="G22">
        <f>138*2+308</f>
        <v>584</v>
      </c>
      <c r="H22">
        <f>1131+1042+1419+506</f>
        <v>4098</v>
      </c>
      <c r="I22">
        <v>4076</v>
      </c>
      <c r="J22" s="6">
        <f t="shared" si="0"/>
        <v>0.99463152757442652</v>
      </c>
      <c r="K22" s="6">
        <f t="shared" si="1"/>
        <v>2.9838945827232797</v>
      </c>
      <c r="L22" s="6">
        <f t="shared" si="2"/>
        <v>2.9838945827232797</v>
      </c>
      <c r="M22" s="6">
        <f t="shared" si="3"/>
        <v>2.9838945827232797</v>
      </c>
      <c r="N22" s="6">
        <f t="shared" si="4"/>
        <v>2187.1947291361639</v>
      </c>
      <c r="O22" s="6">
        <f t="shared" si="5"/>
        <v>580.86481210346506</v>
      </c>
      <c r="P22" s="6">
        <f t="shared" si="6"/>
        <v>3495.1351878965352</v>
      </c>
    </row>
    <row r="23" spans="1:16" x14ac:dyDescent="0.2">
      <c r="A23">
        <v>6489</v>
      </c>
      <c r="B23">
        <v>3</v>
      </c>
      <c r="C23">
        <f>1.45*3+2</f>
        <v>6.35</v>
      </c>
      <c r="D23">
        <f>1.45*3</f>
        <v>4.3499999999999996</v>
      </c>
      <c r="E23" s="6">
        <v>0</v>
      </c>
      <c r="F23" s="6">
        <f>1090+1552+1030-120</f>
        <v>3552</v>
      </c>
      <c r="G23">
        <f>120+180+75</f>
        <v>375</v>
      </c>
      <c r="H23">
        <f>1240+1737+1255</f>
        <v>4232</v>
      </c>
      <c r="I23">
        <v>4203</v>
      </c>
      <c r="J23" s="6">
        <f t="shared" si="0"/>
        <v>0.99314744801512289</v>
      </c>
      <c r="K23" s="6">
        <f t="shared" si="1"/>
        <v>6.3064862948960299</v>
      </c>
      <c r="L23" s="6">
        <f t="shared" si="2"/>
        <v>4.3201913988657843</v>
      </c>
      <c r="M23" s="6">
        <f t="shared" si="3"/>
        <v>0</v>
      </c>
      <c r="N23" s="6">
        <f t="shared" si="4"/>
        <v>3527.6597353497164</v>
      </c>
      <c r="O23" s="6">
        <f t="shared" si="5"/>
        <v>372.4302930056711</v>
      </c>
      <c r="P23" s="6">
        <f t="shared" si="6"/>
        <v>3830.569706994329</v>
      </c>
    </row>
    <row r="24" spans="1:16" x14ac:dyDescent="0.2">
      <c r="A24">
        <v>6500</v>
      </c>
      <c r="B24">
        <v>5</v>
      </c>
      <c r="C24">
        <f>0.15*5</f>
        <v>0.75</v>
      </c>
      <c r="D24" s="6">
        <f>0.15*5</f>
        <v>0.75</v>
      </c>
      <c r="E24" s="6">
        <v>0</v>
      </c>
      <c r="F24" s="6">
        <f>175*5</f>
        <v>875</v>
      </c>
      <c r="G24">
        <f>725*5-250-500-108*5</f>
        <v>2335</v>
      </c>
      <c r="H24">
        <f>5*900</f>
        <v>4500</v>
      </c>
      <c r="I24">
        <v>3599</v>
      </c>
      <c r="J24" s="6">
        <f t="shared" si="0"/>
        <v>0.79977777777777781</v>
      </c>
      <c r="K24" s="6">
        <f t="shared" si="1"/>
        <v>0.59983333333333333</v>
      </c>
      <c r="L24" s="6">
        <f t="shared" si="2"/>
        <v>0.59983333333333333</v>
      </c>
      <c r="M24" s="6">
        <f t="shared" si="3"/>
        <v>0</v>
      </c>
      <c r="N24" s="6">
        <f t="shared" si="4"/>
        <v>699.80555555555554</v>
      </c>
      <c r="O24" s="6">
        <f t="shared" si="5"/>
        <v>1867.4811111111112</v>
      </c>
      <c r="P24" s="6">
        <f t="shared" si="6"/>
        <v>1731.5188888888888</v>
      </c>
    </row>
    <row r="25" spans="1:16" x14ac:dyDescent="0.2">
      <c r="A25">
        <v>6503</v>
      </c>
      <c r="B25">
        <v>5</v>
      </c>
      <c r="C25" s="51">
        <f>1.25+4+2</f>
        <v>7.25</v>
      </c>
      <c r="D25" s="51">
        <f>1.25+4+2</f>
        <v>7.25</v>
      </c>
      <c r="E25" s="6">
        <v>4</v>
      </c>
      <c r="F25" s="6">
        <f>605*3+693+293</f>
        <v>2801</v>
      </c>
      <c r="G25">
        <v>1000</v>
      </c>
      <c r="H25">
        <f>1210+1106+1274+1321+816</f>
        <v>5727</v>
      </c>
      <c r="I25">
        <v>4404</v>
      </c>
      <c r="J25" s="6">
        <f t="shared" si="0"/>
        <v>0.7689889994761655</v>
      </c>
      <c r="K25" s="6">
        <f t="shared" si="1"/>
        <v>5.5751702462021999</v>
      </c>
      <c r="L25" s="6">
        <f t="shared" si="2"/>
        <v>5.5751702462021999</v>
      </c>
      <c r="M25" s="6">
        <f t="shared" si="3"/>
        <v>3.075955997904662</v>
      </c>
      <c r="N25" s="6">
        <f t="shared" si="4"/>
        <v>2153.9381875327394</v>
      </c>
      <c r="O25" s="6">
        <f t="shared" si="5"/>
        <v>768.98899947616553</v>
      </c>
      <c r="P25" s="6">
        <f t="shared" si="6"/>
        <v>3635.0110005238344</v>
      </c>
    </row>
    <row r="26" spans="1:16" x14ac:dyDescent="0.2">
      <c r="A26">
        <v>6541</v>
      </c>
      <c r="B26">
        <v>5</v>
      </c>
      <c r="C26">
        <v>2.4500000000000002</v>
      </c>
      <c r="D26">
        <v>2.4500000000000002</v>
      </c>
      <c r="E26" s="6">
        <v>0</v>
      </c>
      <c r="F26" s="6">
        <f>430*2+325*2+330</f>
        <v>1840</v>
      </c>
      <c r="G26">
        <v>1200</v>
      </c>
      <c r="H26">
        <f>1595+1475+1620+1645+1550</f>
        <v>7885</v>
      </c>
      <c r="I26">
        <v>3038</v>
      </c>
      <c r="J26" s="6">
        <f t="shared" si="0"/>
        <v>0.38528852251109702</v>
      </c>
      <c r="K26" s="6">
        <f t="shared" si="1"/>
        <v>0.94395688015218782</v>
      </c>
      <c r="L26" s="6">
        <f t="shared" si="2"/>
        <v>0.94395688015218782</v>
      </c>
      <c r="M26" s="6">
        <f t="shared" si="3"/>
        <v>0</v>
      </c>
      <c r="N26" s="6">
        <f t="shared" si="4"/>
        <v>708.93088142041847</v>
      </c>
      <c r="O26" s="6">
        <f t="shared" si="5"/>
        <v>462.34622701331642</v>
      </c>
      <c r="P26" s="6">
        <f t="shared" si="6"/>
        <v>2575.6537729866836</v>
      </c>
    </row>
    <row r="27" spans="1:16" x14ac:dyDescent="0.2">
      <c r="A27">
        <v>6545</v>
      </c>
      <c r="B27">
        <v>4</v>
      </c>
      <c r="C27">
        <f>0.8*4</f>
        <v>3.2</v>
      </c>
      <c r="D27" s="6">
        <f>0.8*4</f>
        <v>3.2</v>
      </c>
      <c r="E27" s="6">
        <v>0</v>
      </c>
      <c r="F27" s="6">
        <f>996+1003+1034+1065</f>
        <v>4098</v>
      </c>
      <c r="G27">
        <v>140</v>
      </c>
      <c r="H27">
        <f>1445+1342+1493+1421</f>
        <v>5701</v>
      </c>
      <c r="I27">
        <v>2880</v>
      </c>
      <c r="J27" s="6">
        <f t="shared" si="0"/>
        <v>0.50517453078407293</v>
      </c>
      <c r="K27" s="6">
        <f t="shared" si="1"/>
        <v>1.6165584985090335</v>
      </c>
      <c r="L27" s="6">
        <f t="shared" si="2"/>
        <v>1.6165584985090335</v>
      </c>
      <c r="M27" s="6">
        <f t="shared" si="3"/>
        <v>0</v>
      </c>
      <c r="N27" s="6">
        <f t="shared" si="4"/>
        <v>2070.2052271531306</v>
      </c>
      <c r="O27" s="6">
        <f t="shared" si="5"/>
        <v>70.724434309770203</v>
      </c>
      <c r="P27" s="6">
        <f t="shared" si="6"/>
        <v>2809.27556569023</v>
      </c>
    </row>
    <row r="28" spans="1:16" x14ac:dyDescent="0.2">
      <c r="A28">
        <v>6546</v>
      </c>
      <c r="B28">
        <v>5</v>
      </c>
      <c r="C28">
        <f>1.3*5</f>
        <v>6.5</v>
      </c>
      <c r="D28">
        <f>C28-0.4*5</f>
        <v>4.5</v>
      </c>
      <c r="E28" s="6">
        <v>1.25</v>
      </c>
      <c r="F28" s="6">
        <f>989+1018+1050+1080+1113-(70+72+74+76+78+64+66+68+70+72)</f>
        <v>4540</v>
      </c>
      <c r="G28">
        <f>70+72+74+76+78+64+66+68+70+72+246+247+238+233+200+125*5+50</f>
        <v>2549</v>
      </c>
      <c r="H28">
        <f>5*1500</f>
        <v>7500</v>
      </c>
      <c r="I28">
        <v>3115</v>
      </c>
      <c r="J28" s="6">
        <f t="shared" si="0"/>
        <v>0.41533333333333333</v>
      </c>
      <c r="K28" s="6">
        <f t="shared" si="1"/>
        <v>2.6996666666666664</v>
      </c>
      <c r="L28" s="6">
        <f t="shared" si="2"/>
        <v>1.869</v>
      </c>
      <c r="M28" s="6">
        <f t="shared" si="3"/>
        <v>0.51916666666666667</v>
      </c>
      <c r="N28" s="6">
        <f t="shared" si="4"/>
        <v>1885.6133333333332</v>
      </c>
      <c r="O28" s="6">
        <f t="shared" si="5"/>
        <v>1058.6846666666668</v>
      </c>
      <c r="P28" s="6">
        <f t="shared" si="6"/>
        <v>2056.315333333333</v>
      </c>
    </row>
    <row r="29" spans="1:16" x14ac:dyDescent="0.2">
      <c r="A29">
        <v>6547</v>
      </c>
      <c r="B29">
        <v>2</v>
      </c>
      <c r="C29">
        <f>2.5*2</f>
        <v>5</v>
      </c>
      <c r="D29" s="6">
        <f>2.5*2</f>
        <v>5</v>
      </c>
      <c r="E29" s="6">
        <v>0</v>
      </c>
      <c r="F29" s="6">
        <f>1607+828</f>
        <v>2435</v>
      </c>
      <c r="G29">
        <v>0</v>
      </c>
      <c r="H29">
        <f>2032+1128</f>
        <v>3160</v>
      </c>
      <c r="I29">
        <v>2780</v>
      </c>
      <c r="J29" s="6">
        <f t="shared" si="0"/>
        <v>0.879746835443038</v>
      </c>
      <c r="K29" s="6">
        <f t="shared" si="1"/>
        <v>4.3987341772151902</v>
      </c>
      <c r="L29" s="6">
        <f t="shared" si="2"/>
        <v>4.3987341772151902</v>
      </c>
      <c r="M29" s="6">
        <f t="shared" si="3"/>
        <v>0</v>
      </c>
      <c r="N29" s="6">
        <f t="shared" si="4"/>
        <v>2142.1835443037976</v>
      </c>
      <c r="O29" s="6">
        <f t="shared" si="5"/>
        <v>0</v>
      </c>
      <c r="P29" s="6">
        <f t="shared" si="6"/>
        <v>2780</v>
      </c>
    </row>
    <row r="30" spans="1:16" x14ac:dyDescent="0.2">
      <c r="A30">
        <v>6570</v>
      </c>
      <c r="B30">
        <v>3</v>
      </c>
      <c r="C30">
        <f>1.5*3</f>
        <v>4.5</v>
      </c>
      <c r="D30" s="6">
        <f>1.5*3</f>
        <v>4.5</v>
      </c>
      <c r="E30" s="6">
        <v>0</v>
      </c>
      <c r="F30" s="6">
        <f>985+1002+1019</f>
        <v>3006</v>
      </c>
      <c r="G30">
        <v>150</v>
      </c>
      <c r="H30">
        <f>1900+1920+1940</f>
        <v>5760</v>
      </c>
      <c r="I30">
        <v>3087</v>
      </c>
      <c r="J30" s="6">
        <f t="shared" si="0"/>
        <v>0.53593749999999996</v>
      </c>
      <c r="K30" s="6">
        <f t="shared" si="1"/>
        <v>2.4117187499999999</v>
      </c>
      <c r="L30" s="6">
        <f t="shared" si="2"/>
        <v>2.4117187499999999</v>
      </c>
      <c r="M30" s="6">
        <f t="shared" si="3"/>
        <v>0</v>
      </c>
      <c r="N30" s="6">
        <f t="shared" si="4"/>
        <v>1611.0281249999998</v>
      </c>
      <c r="O30" s="6">
        <f t="shared" si="5"/>
        <v>80.390625</v>
      </c>
      <c r="P30" s="6">
        <f t="shared" si="6"/>
        <v>3006.609375</v>
      </c>
    </row>
    <row r="31" spans="1:16" x14ac:dyDescent="0.2">
      <c r="A31">
        <v>6573</v>
      </c>
      <c r="B31">
        <v>4</v>
      </c>
      <c r="C31">
        <v>13.6</v>
      </c>
      <c r="D31">
        <v>13.6</v>
      </c>
      <c r="E31" s="6">
        <v>0</v>
      </c>
      <c r="F31" s="6">
        <f>1250*2+1050+700</f>
        <v>4250</v>
      </c>
      <c r="G31">
        <v>100</v>
      </c>
      <c r="H31">
        <f>2103+2241+2000+1434</f>
        <v>7778</v>
      </c>
      <c r="I31">
        <v>1877</v>
      </c>
      <c r="J31" s="6">
        <f t="shared" si="0"/>
        <v>0.2413216765235279</v>
      </c>
      <c r="K31" s="6">
        <f t="shared" si="1"/>
        <v>3.2819748007199792</v>
      </c>
      <c r="L31" s="6">
        <f t="shared" si="2"/>
        <v>3.2819748007199792</v>
      </c>
      <c r="M31" s="6">
        <f t="shared" si="3"/>
        <v>0</v>
      </c>
      <c r="N31" s="6">
        <f t="shared" si="4"/>
        <v>1025.6171252249935</v>
      </c>
      <c r="O31" s="6">
        <f t="shared" si="5"/>
        <v>24.132167652352791</v>
      </c>
      <c r="P31" s="6">
        <f t="shared" si="6"/>
        <v>1852.8678323476472</v>
      </c>
    </row>
    <row r="32" spans="1:16" x14ac:dyDescent="0.2">
      <c r="A32">
        <v>6578</v>
      </c>
      <c r="B32">
        <v>5</v>
      </c>
      <c r="C32">
        <v>19</v>
      </c>
      <c r="D32">
        <v>15</v>
      </c>
      <c r="E32" s="6">
        <v>5</v>
      </c>
      <c r="F32" s="6">
        <f>256+413*4-157*4</f>
        <v>1280</v>
      </c>
      <c r="G32">
        <f>157*4+3900</f>
        <v>4528</v>
      </c>
      <c r="H32">
        <f>1612+1820+1388+1337+1337</f>
        <v>7494</v>
      </c>
      <c r="I32">
        <v>3115</v>
      </c>
      <c r="J32" s="6">
        <f t="shared" si="0"/>
        <v>0.41566586602615424</v>
      </c>
      <c r="K32" s="6">
        <f t="shared" si="1"/>
        <v>7.8976514544969305</v>
      </c>
      <c r="L32" s="6">
        <f t="shared" si="2"/>
        <v>6.2349879903923133</v>
      </c>
      <c r="M32" s="6">
        <f t="shared" si="3"/>
        <v>2.0783293301307713</v>
      </c>
      <c r="N32" s="6">
        <f t="shared" si="4"/>
        <v>532.05230851347744</v>
      </c>
      <c r="O32" s="6">
        <f t="shared" si="5"/>
        <v>1882.1350413664263</v>
      </c>
      <c r="P32" s="6">
        <f t="shared" si="6"/>
        <v>1232.8649586335737</v>
      </c>
    </row>
    <row r="33" spans="1:16" x14ac:dyDescent="0.2">
      <c r="A33">
        <v>6584</v>
      </c>
      <c r="B33">
        <v>2</v>
      </c>
      <c r="C33">
        <f>0.65*2</f>
        <v>1.3</v>
      </c>
      <c r="D33" s="6">
        <f>0.65*2</f>
        <v>1.3</v>
      </c>
      <c r="E33" s="6">
        <v>0</v>
      </c>
      <c r="F33" s="6">
        <v>1420</v>
      </c>
      <c r="G33">
        <v>600</v>
      </c>
      <c r="H33">
        <f>1364+830</f>
        <v>2194</v>
      </c>
      <c r="I33">
        <v>2194</v>
      </c>
      <c r="J33" s="6">
        <f t="shared" si="0"/>
        <v>1</v>
      </c>
      <c r="K33" s="6">
        <f t="shared" si="1"/>
        <v>1.3</v>
      </c>
      <c r="L33" s="6">
        <f t="shared" si="2"/>
        <v>1.3</v>
      </c>
      <c r="M33" s="6">
        <f t="shared" si="3"/>
        <v>0</v>
      </c>
      <c r="N33" s="6">
        <f t="shared" si="4"/>
        <v>1420</v>
      </c>
      <c r="O33" s="6">
        <f t="shared" si="5"/>
        <v>600</v>
      </c>
      <c r="P33" s="6">
        <f t="shared" si="6"/>
        <v>1594</v>
      </c>
    </row>
    <row r="34" spans="1:16" x14ac:dyDescent="0.2">
      <c r="A34">
        <v>6587</v>
      </c>
      <c r="B34">
        <v>3</v>
      </c>
      <c r="C34">
        <v>4.5</v>
      </c>
      <c r="D34">
        <v>4.5</v>
      </c>
      <c r="E34" s="6">
        <v>0</v>
      </c>
      <c r="F34" s="6">
        <f>1052+1060+1080</f>
        <v>3192</v>
      </c>
      <c r="G34">
        <v>150</v>
      </c>
      <c r="H34">
        <f>1937+1945+1915</f>
        <v>5797</v>
      </c>
      <c r="I34">
        <v>3087</v>
      </c>
      <c r="J34" s="6">
        <f t="shared" si="0"/>
        <v>0.53251681904433323</v>
      </c>
      <c r="K34" s="6">
        <f t="shared" si="1"/>
        <v>2.3963256856994994</v>
      </c>
      <c r="L34" s="6">
        <f t="shared" si="2"/>
        <v>2.3963256856994994</v>
      </c>
      <c r="M34" s="6">
        <f t="shared" si="3"/>
        <v>0</v>
      </c>
      <c r="N34" s="6">
        <f t="shared" si="4"/>
        <v>1699.7936863895118</v>
      </c>
      <c r="O34" s="6">
        <f t="shared" si="5"/>
        <v>79.877522856649989</v>
      </c>
      <c r="P34" s="6">
        <f t="shared" si="6"/>
        <v>3007.1224771433499</v>
      </c>
    </row>
    <row r="35" spans="1:16" s="2" customFormat="1" x14ac:dyDescent="0.2">
      <c r="A35" s="2">
        <v>6588</v>
      </c>
      <c r="B35" s="2">
        <v>3</v>
      </c>
      <c r="C35" s="2">
        <v>8.9</v>
      </c>
      <c r="D35" s="2">
        <v>8.9</v>
      </c>
      <c r="E35" s="2">
        <v>6</v>
      </c>
      <c r="F35" s="2">
        <f>1850*2+1250</f>
        <v>4950</v>
      </c>
      <c r="G35" s="2">
        <v>0</v>
      </c>
      <c r="H35" s="2">
        <f>2450+2450+1850</f>
        <v>6750</v>
      </c>
      <c r="I35" s="2">
        <v>2142</v>
      </c>
      <c r="J35" s="2">
        <f t="shared" si="0"/>
        <v>0.31733333333333336</v>
      </c>
      <c r="K35" s="2">
        <f t="shared" si="1"/>
        <v>2.8242666666666669</v>
      </c>
      <c r="L35" s="2">
        <f t="shared" si="2"/>
        <v>2.8242666666666669</v>
      </c>
      <c r="M35" s="2">
        <f t="shared" si="3"/>
        <v>1.9040000000000001</v>
      </c>
      <c r="N35" s="2">
        <f t="shared" si="4"/>
        <v>1570.8000000000002</v>
      </c>
      <c r="O35" s="2">
        <f t="shared" si="5"/>
        <v>0</v>
      </c>
      <c r="P35" s="2">
        <f t="shared" si="6"/>
        <v>2142</v>
      </c>
    </row>
    <row r="36" spans="1:16" s="2" customFormat="1" x14ac:dyDescent="0.2">
      <c r="A36" s="2">
        <v>6592</v>
      </c>
      <c r="B36" s="2">
        <v>5</v>
      </c>
      <c r="C36" s="2">
        <f>1.1*5</f>
        <v>5.5</v>
      </c>
      <c r="D36" s="2">
        <f>0.3*5</f>
        <v>1.5</v>
      </c>
      <c r="E36" s="2">
        <v>0</v>
      </c>
      <c r="F36" s="2">
        <f>230*5+73*5</f>
        <v>1515</v>
      </c>
      <c r="G36" s="2">
        <f>220*5+45*5</f>
        <v>1325</v>
      </c>
      <c r="H36" s="2">
        <f>1616+1209+1209+1209+1285</f>
        <v>6528</v>
      </c>
      <c r="I36" s="2">
        <f>806*3</f>
        <v>2418</v>
      </c>
      <c r="J36" s="2">
        <f t="shared" si="0"/>
        <v>0.3704044117647059</v>
      </c>
      <c r="K36" s="2">
        <f t="shared" si="1"/>
        <v>2.0372242647058822</v>
      </c>
      <c r="L36" s="2">
        <f t="shared" si="2"/>
        <v>0.55560661764705888</v>
      </c>
      <c r="M36" s="2">
        <f t="shared" si="3"/>
        <v>0</v>
      </c>
      <c r="N36" s="2">
        <f t="shared" si="4"/>
        <v>561.16268382352939</v>
      </c>
      <c r="O36" s="2">
        <f t="shared" si="5"/>
        <v>490.7858455882353</v>
      </c>
      <c r="P36" s="2">
        <f t="shared" si="6"/>
        <v>1927.2141544117646</v>
      </c>
    </row>
    <row r="37" spans="1:16" s="2" customFormat="1" x14ac:dyDescent="0.2">
      <c r="A37" s="2">
        <v>6594</v>
      </c>
      <c r="B37" s="2">
        <v>5</v>
      </c>
      <c r="C37" s="2">
        <v>5</v>
      </c>
      <c r="D37" s="2">
        <v>5</v>
      </c>
      <c r="E37" s="2">
        <v>0</v>
      </c>
      <c r="F37" s="2">
        <f>850*5</f>
        <v>4250</v>
      </c>
      <c r="G37" s="2">
        <f>1300</f>
        <v>1300</v>
      </c>
      <c r="H37" s="2">
        <f>2231+1981+2250+2000+1700</f>
        <v>10162</v>
      </c>
      <c r="I37" s="2">
        <v>4482</v>
      </c>
      <c r="J37" s="2">
        <f t="shared" si="0"/>
        <v>0.44105491045069867</v>
      </c>
      <c r="K37" s="2">
        <f t="shared" si="1"/>
        <v>2.2052745522534933</v>
      </c>
      <c r="L37" s="2">
        <f t="shared" si="2"/>
        <v>2.2052745522534933</v>
      </c>
      <c r="M37" s="2">
        <f t="shared" si="3"/>
        <v>0</v>
      </c>
      <c r="N37" s="2">
        <f t="shared" si="4"/>
        <v>1874.4833694154693</v>
      </c>
      <c r="O37" s="2">
        <f t="shared" si="5"/>
        <v>573.37138358590823</v>
      </c>
      <c r="P37" s="2">
        <f t="shared" si="6"/>
        <v>3908.628616414092</v>
      </c>
    </row>
    <row r="38" spans="1:16" s="2" customFormat="1" x14ac:dyDescent="0.2">
      <c r="A38" s="2">
        <v>6608</v>
      </c>
      <c r="B38" s="2">
        <v>5</v>
      </c>
      <c r="C38" s="2">
        <f>2.1*5</f>
        <v>10.5</v>
      </c>
      <c r="D38" s="2">
        <f>1.2*5</f>
        <v>6</v>
      </c>
      <c r="E38" s="2">
        <v>5</v>
      </c>
      <c r="F38" s="2">
        <f>705+1176+1300+1421+964-520</f>
        <v>5046</v>
      </c>
      <c r="G38" s="2">
        <f>520+460+900</f>
        <v>1880</v>
      </c>
      <c r="H38" s="2">
        <f>1559+2014+2177+2316+1591</f>
        <v>9657</v>
      </c>
      <c r="I38" s="2">
        <v>4081</v>
      </c>
      <c r="J38" s="2">
        <f t="shared" si="0"/>
        <v>0.42259500880190537</v>
      </c>
      <c r="K38" s="2">
        <f t="shared" si="1"/>
        <v>4.4372475924200065</v>
      </c>
      <c r="L38" s="2">
        <f t="shared" si="2"/>
        <v>2.5355700528114324</v>
      </c>
      <c r="M38" s="2">
        <f t="shared" si="3"/>
        <v>2.1129750440095267</v>
      </c>
      <c r="N38" s="2">
        <f t="shared" si="4"/>
        <v>2132.4144144144143</v>
      </c>
      <c r="O38" s="2">
        <f t="shared" si="5"/>
        <v>794.47861654758208</v>
      </c>
      <c r="P38" s="2">
        <f t="shared" si="6"/>
        <v>3286.5213834524179</v>
      </c>
    </row>
    <row r="39" spans="1:16" x14ac:dyDescent="0.2">
      <c r="A39">
        <v>6609</v>
      </c>
      <c r="B39">
        <v>4</v>
      </c>
      <c r="C39">
        <f>1.25*4</f>
        <v>5</v>
      </c>
      <c r="D39" s="6">
        <f>1.25*4</f>
        <v>5</v>
      </c>
      <c r="E39" s="6">
        <v>0</v>
      </c>
      <c r="F39" s="6">
        <f>610+710+731+753</f>
        <v>2804</v>
      </c>
      <c r="G39">
        <v>1060</v>
      </c>
      <c r="H39">
        <f>1919+1740+1561+2233</f>
        <v>7453</v>
      </c>
      <c r="I39">
        <v>3736</v>
      </c>
      <c r="J39" s="6">
        <f t="shared" si="0"/>
        <v>0.50127465450154296</v>
      </c>
      <c r="K39" s="6">
        <f t="shared" si="1"/>
        <v>2.506373272507715</v>
      </c>
      <c r="L39" s="6">
        <f t="shared" si="2"/>
        <v>2.506373272507715</v>
      </c>
      <c r="M39" s="6">
        <f t="shared" si="3"/>
        <v>0</v>
      </c>
      <c r="N39" s="6">
        <f t="shared" si="4"/>
        <v>1405.5741312223265</v>
      </c>
      <c r="O39" s="6">
        <f t="shared" si="5"/>
        <v>531.35113377163555</v>
      </c>
      <c r="P39" s="6">
        <f t="shared" si="6"/>
        <v>3204.6488662283646</v>
      </c>
    </row>
    <row r="40" spans="1:16" x14ac:dyDescent="0.2">
      <c r="A40">
        <v>6615</v>
      </c>
      <c r="B40">
        <v>3</v>
      </c>
      <c r="C40">
        <f>0.3*3+0.3*2+12+1.5</f>
        <v>15</v>
      </c>
      <c r="D40" s="6">
        <f>0.3*3+1.5</f>
        <v>2.4</v>
      </c>
      <c r="E40" s="6">
        <v>0</v>
      </c>
      <c r="F40" s="6">
        <f>1024+1234+750-(96+436+636+200)</f>
        <v>1640</v>
      </c>
      <c r="G40">
        <f>96+436+636+200+1900</f>
        <v>3268</v>
      </c>
      <c r="H40">
        <f>2170+2433+1514</f>
        <v>6117</v>
      </c>
      <c r="I40">
        <v>3250</v>
      </c>
      <c r="J40" s="6">
        <f t="shared" si="0"/>
        <v>0.53130619584763772</v>
      </c>
      <c r="K40" s="6">
        <f t="shared" si="1"/>
        <v>7.969592937714566</v>
      </c>
      <c r="L40" s="6">
        <f t="shared" si="2"/>
        <v>1.2751348700343306</v>
      </c>
      <c r="M40" s="6">
        <f t="shared" si="3"/>
        <v>0</v>
      </c>
      <c r="N40" s="6">
        <f t="shared" si="4"/>
        <v>871.34216119012581</v>
      </c>
      <c r="O40" s="6">
        <f t="shared" si="5"/>
        <v>1736.3086480300801</v>
      </c>
      <c r="P40" s="6">
        <f t="shared" si="6"/>
        <v>1513.6913519699199</v>
      </c>
    </row>
    <row r="41" spans="1:16" x14ac:dyDescent="0.2">
      <c r="A41">
        <v>6636</v>
      </c>
      <c r="B41">
        <v>5</v>
      </c>
      <c r="C41">
        <f>3+2.8*5</f>
        <v>17</v>
      </c>
      <c r="D41">
        <v>12</v>
      </c>
      <c r="E41" s="6">
        <v>5</v>
      </c>
      <c r="F41" s="6">
        <f>1606+2162*3+1606-5*210</f>
        <v>8648</v>
      </c>
      <c r="G41">
        <f>2*210+5*80+225</f>
        <v>1045</v>
      </c>
      <c r="H41">
        <f>1923+2673*3+1973</f>
        <v>11915</v>
      </c>
      <c r="I41">
        <v>3011</v>
      </c>
      <c r="J41" s="6">
        <f t="shared" si="0"/>
        <v>0.25270667226185478</v>
      </c>
      <c r="K41" s="6">
        <f t="shared" si="1"/>
        <v>4.2960134284515314</v>
      </c>
      <c r="L41" s="6">
        <f t="shared" si="2"/>
        <v>3.0324800671422576</v>
      </c>
      <c r="M41" s="6">
        <f t="shared" si="3"/>
        <v>1.2635333613092739</v>
      </c>
      <c r="N41" s="6">
        <f t="shared" si="4"/>
        <v>2185.4073017205201</v>
      </c>
      <c r="O41" s="6">
        <f t="shared" si="5"/>
        <v>264.07847251363825</v>
      </c>
      <c r="P41" s="6">
        <f t="shared" si="6"/>
        <v>2746.9215274863618</v>
      </c>
    </row>
    <row r="42" spans="1:16" x14ac:dyDescent="0.2">
      <c r="A42">
        <v>6805</v>
      </c>
      <c r="B42">
        <v>2</v>
      </c>
      <c r="C42">
        <f>1.9*2</f>
        <v>3.8</v>
      </c>
      <c r="D42" s="6">
        <f>1.9*2</f>
        <v>3.8</v>
      </c>
      <c r="E42" s="6">
        <v>2</v>
      </c>
      <c r="F42" s="6">
        <f>1256*2</f>
        <v>2512</v>
      </c>
      <c r="G42">
        <v>270</v>
      </c>
      <c r="H42">
        <f>1916+1841</f>
        <v>3757</v>
      </c>
      <c r="I42">
        <v>2100</v>
      </c>
      <c r="J42" s="6">
        <f t="shared" si="0"/>
        <v>0.55895661431993615</v>
      </c>
      <c r="K42" s="6">
        <f t="shared" si="1"/>
        <v>2.1240351344157573</v>
      </c>
      <c r="L42" s="6">
        <f t="shared" si="2"/>
        <v>2.1240351344157573</v>
      </c>
      <c r="M42" s="6">
        <f t="shared" si="3"/>
        <v>1.1179132286398723</v>
      </c>
      <c r="N42" s="6">
        <f t="shared" si="4"/>
        <v>1404.0990151716796</v>
      </c>
      <c r="O42" s="6">
        <f t="shared" si="5"/>
        <v>150.91828586638277</v>
      </c>
      <c r="P42" s="6">
        <f t="shared" si="6"/>
        <v>1949.0817141336172</v>
      </c>
    </row>
    <row r="43" spans="1:16" s="10" customFormat="1" ht="15" x14ac:dyDescent="0.25">
      <c r="B43" s="36">
        <f>AVERAGE(B2:B42)</f>
        <v>4</v>
      </c>
      <c r="H43" s="10">
        <f>SUM(H2:H42)</f>
        <v>261862</v>
      </c>
      <c r="I43" s="10">
        <f>SUM(I2:I42)</f>
        <v>142190</v>
      </c>
      <c r="J43" s="6">
        <f>AVERAGE(J2:J42)</f>
        <v>0.60161985780537008</v>
      </c>
      <c r="K43" s="10">
        <f t="shared" ref="K43:P43" si="7">SUM(K2:K42)</f>
        <v>141.41185692947829</v>
      </c>
      <c r="L43" s="10">
        <f t="shared" si="7"/>
        <v>117.10528568958598</v>
      </c>
      <c r="M43" s="10">
        <f t="shared" si="7"/>
        <v>33.366954880091946</v>
      </c>
      <c r="N43" s="10">
        <f t="shared" si="7"/>
        <v>85501.602152408683</v>
      </c>
      <c r="O43" s="10">
        <f t="shared" si="7"/>
        <v>24707.139819799944</v>
      </c>
      <c r="P43" s="10">
        <f t="shared" si="7"/>
        <v>117482.86018020005</v>
      </c>
    </row>
    <row r="44" spans="1:16" x14ac:dyDescent="0.2">
      <c r="H44">
        <f>AVERAGE(H2:H42)</f>
        <v>6386.8780487804879</v>
      </c>
      <c r="I44" s="6">
        <f>AVERAGE(I2:I42)</f>
        <v>3468.0487804878048</v>
      </c>
      <c r="J44">
        <f>I44/H44</f>
        <v>0.54299592915352357</v>
      </c>
    </row>
    <row r="45" spans="1:16" x14ac:dyDescent="0.2">
      <c r="H45">
        <f>MIN(H2:H42)</f>
        <v>2194</v>
      </c>
    </row>
    <row r="46" spans="1:16" x14ac:dyDescent="0.2">
      <c r="H46">
        <f>MAX(H2:H42)</f>
        <v>11915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5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F23" sqref="F23"/>
    </sheetView>
  </sheetViews>
  <sheetFormatPr defaultRowHeight="14.25" x14ac:dyDescent="0.2"/>
  <cols>
    <col min="1" max="1" width="38" style="6" customWidth="1"/>
    <col min="2" max="2" width="10.125" style="6" bestFit="1" customWidth="1"/>
    <col min="3" max="3" width="9.125" style="6" bestFit="1" customWidth="1"/>
    <col min="4" max="4" width="12.75" style="6" bestFit="1" customWidth="1"/>
    <col min="5" max="6" width="8.375" style="6" customWidth="1"/>
    <col min="7" max="7" width="9.125" style="6" bestFit="1" customWidth="1"/>
    <col min="8" max="8" width="9" style="2"/>
    <col min="9" max="16384" width="9" style="6"/>
  </cols>
  <sheetData>
    <row r="1" spans="1:8" ht="57" x14ac:dyDescent="0.2">
      <c r="A1" s="1" t="s">
        <v>404</v>
      </c>
      <c r="B1" s="1" t="s">
        <v>1</v>
      </c>
      <c r="C1" s="1" t="s">
        <v>368</v>
      </c>
      <c r="D1" s="1" t="s">
        <v>315</v>
      </c>
      <c r="E1" s="1" t="s">
        <v>342</v>
      </c>
      <c r="F1" s="1" t="s">
        <v>694</v>
      </c>
      <c r="G1" s="1" t="s">
        <v>410</v>
      </c>
      <c r="H1" s="3" t="s">
        <v>448</v>
      </c>
    </row>
    <row r="2" spans="1:8" x14ac:dyDescent="0.2">
      <c r="A2" s="6" t="s">
        <v>515</v>
      </c>
      <c r="B2" s="6" t="s">
        <v>946</v>
      </c>
      <c r="C2" s="2">
        <f t="shared" ref="C2:C14" si="0">IF(E2&gt;=1,1,0)</f>
        <v>0</v>
      </c>
      <c r="E2" s="6">
        <v>0.72050800000000004</v>
      </c>
      <c r="H2" s="48"/>
    </row>
    <row r="3" spans="1:8" x14ac:dyDescent="0.2">
      <c r="A3" s="6" t="s">
        <v>487</v>
      </c>
      <c r="B3" s="6" t="s">
        <v>489</v>
      </c>
      <c r="C3" s="2">
        <f t="shared" si="0"/>
        <v>0</v>
      </c>
      <c r="E3" s="6">
        <v>0.55229200000000001</v>
      </c>
      <c r="H3" s="48"/>
    </row>
    <row r="4" spans="1:8" x14ac:dyDescent="0.2">
      <c r="A4" s="6" t="s">
        <v>519</v>
      </c>
      <c r="B4" s="6" t="s">
        <v>476</v>
      </c>
      <c r="C4" s="2">
        <f t="shared" si="0"/>
        <v>0</v>
      </c>
      <c r="E4" s="6">
        <v>0.54</v>
      </c>
      <c r="H4" s="48"/>
    </row>
    <row r="5" spans="1:8" x14ac:dyDescent="0.2">
      <c r="A5" s="6" t="s">
        <v>485</v>
      </c>
      <c r="B5" s="6" t="s">
        <v>486</v>
      </c>
      <c r="C5" s="2">
        <f t="shared" si="0"/>
        <v>0</v>
      </c>
      <c r="E5" s="6">
        <v>0.36475099999999999</v>
      </c>
      <c r="H5" s="49" t="s">
        <v>488</v>
      </c>
    </row>
    <row r="6" spans="1:8" x14ac:dyDescent="0.2">
      <c r="A6" s="6" t="s">
        <v>518</v>
      </c>
      <c r="B6" s="6" t="s">
        <v>6</v>
      </c>
      <c r="C6" s="2">
        <f t="shared" si="0"/>
        <v>0</v>
      </c>
      <c r="E6" s="6">
        <v>0.28399999999999997</v>
      </c>
      <c r="H6" s="48"/>
    </row>
    <row r="7" spans="1:8" x14ac:dyDescent="0.2">
      <c r="A7" s="6" t="s">
        <v>499</v>
      </c>
      <c r="B7" s="6" t="s">
        <v>489</v>
      </c>
      <c r="C7" s="2">
        <f t="shared" si="0"/>
        <v>0</v>
      </c>
      <c r="E7" s="6">
        <v>0.28199999999999997</v>
      </c>
      <c r="H7" s="49"/>
    </row>
    <row r="8" spans="1:8" x14ac:dyDescent="0.2">
      <c r="A8" s="6" t="s">
        <v>492</v>
      </c>
      <c r="B8" s="6" t="s">
        <v>486</v>
      </c>
      <c r="C8" s="2">
        <f t="shared" si="0"/>
        <v>0</v>
      </c>
      <c r="E8" s="6">
        <v>0.26300000000000001</v>
      </c>
      <c r="H8" s="49"/>
    </row>
    <row r="9" spans="1:8" x14ac:dyDescent="0.2">
      <c r="A9" s="6" t="s">
        <v>475</v>
      </c>
      <c r="B9" s="6" t="s">
        <v>476</v>
      </c>
      <c r="C9" s="2">
        <f t="shared" si="0"/>
        <v>0</v>
      </c>
      <c r="E9" s="6">
        <v>0.25</v>
      </c>
      <c r="H9" s="6" t="s">
        <v>477</v>
      </c>
    </row>
    <row r="10" spans="1:8" x14ac:dyDescent="0.2">
      <c r="A10" s="6" t="s">
        <v>516</v>
      </c>
      <c r="B10" s="6" t="s">
        <v>495</v>
      </c>
      <c r="C10" s="2">
        <f t="shared" si="0"/>
        <v>0</v>
      </c>
      <c r="E10" s="6">
        <v>0.22</v>
      </c>
      <c r="H10" s="48"/>
    </row>
    <row r="11" spans="1:8" x14ac:dyDescent="0.2">
      <c r="A11" s="6" t="s">
        <v>494</v>
      </c>
      <c r="B11" s="6" t="s">
        <v>495</v>
      </c>
      <c r="C11" s="2">
        <f t="shared" si="0"/>
        <v>0</v>
      </c>
      <c r="E11" s="6">
        <v>0.2</v>
      </c>
      <c r="H11" s="49" t="s">
        <v>496</v>
      </c>
    </row>
    <row r="12" spans="1:8" x14ac:dyDescent="0.2">
      <c r="A12" s="6" t="s">
        <v>497</v>
      </c>
      <c r="B12" s="6" t="s">
        <v>489</v>
      </c>
      <c r="C12" s="2">
        <f t="shared" si="0"/>
        <v>0</v>
      </c>
      <c r="E12" s="6">
        <v>0.14000000000000001</v>
      </c>
      <c r="H12" s="49"/>
    </row>
    <row r="13" spans="1:8" x14ac:dyDescent="0.2">
      <c r="A13" s="6" t="s">
        <v>490</v>
      </c>
      <c r="B13" s="6" t="s">
        <v>489</v>
      </c>
      <c r="C13" s="2">
        <f t="shared" si="0"/>
        <v>0</v>
      </c>
      <c r="E13" s="6">
        <v>2.8840000000000001E-2</v>
      </c>
      <c r="H13" s="49" t="s">
        <v>491</v>
      </c>
    </row>
    <row r="14" spans="1:8" x14ac:dyDescent="0.2">
      <c r="A14" s="6" t="s">
        <v>555</v>
      </c>
      <c r="B14" s="6" t="s">
        <v>489</v>
      </c>
      <c r="C14" s="2">
        <f t="shared" si="0"/>
        <v>0</v>
      </c>
      <c r="E14" s="6">
        <v>1.2112700000000001E-2</v>
      </c>
    </row>
    <row r="15" spans="1:8" s="10" customFormat="1" ht="15" x14ac:dyDescent="0.25">
      <c r="E15" s="10">
        <f>SUM(E2:E14)</f>
        <v>3.8575037000000005</v>
      </c>
      <c r="F15" s="10">
        <f>SUM(F2:F14)</f>
        <v>0</v>
      </c>
      <c r="H15" s="44"/>
    </row>
  </sheetData>
  <hyperlinks>
    <hyperlink ref="H13" display="www.georange.se GEORANGE Ideella Förening är en samordnande intresseorganisa-tion med sin främsta utgångspunkt i Sveriges malm- och mineral-tillgångar. Föreningens huvudsakliga uppgift är att bredda synen på samhälls- och näringslivsutveckling kring gruv-"/>
  </hyperlinks>
  <pageMargins left="0.7" right="0.7" top="0.75" bottom="0.75" header="0.3" footer="0.3"/>
  <pageSetup paperSize="9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topLeftCell="A10" workbookViewId="0">
      <selection activeCell="A20" sqref="A20"/>
    </sheetView>
  </sheetViews>
  <sheetFormatPr defaultRowHeight="14.25" x14ac:dyDescent="0.2"/>
  <cols>
    <col min="1" max="1" width="36.75" style="2" customWidth="1"/>
    <col min="2" max="2" width="14.25" style="2" customWidth="1"/>
    <col min="3" max="3" width="14.5" style="2" customWidth="1"/>
    <col min="4" max="4" width="11.375" style="2" customWidth="1"/>
    <col min="5" max="16384" width="9" style="2"/>
  </cols>
  <sheetData>
    <row r="1" spans="1:5" ht="15" x14ac:dyDescent="0.25">
      <c r="A1" s="44" t="s">
        <v>1036</v>
      </c>
    </row>
    <row r="2" spans="1:5" x14ac:dyDescent="0.2">
      <c r="A2" s="2" t="s">
        <v>718</v>
      </c>
    </row>
    <row r="4" spans="1:5" s="44" customFormat="1" ht="15" x14ac:dyDescent="0.25">
      <c r="A4" s="44" t="s">
        <v>714</v>
      </c>
      <c r="B4" s="44" t="s">
        <v>717</v>
      </c>
      <c r="C4" s="44" t="s">
        <v>719</v>
      </c>
      <c r="D4" s="44" t="s">
        <v>730</v>
      </c>
      <c r="E4" s="44" t="s">
        <v>448</v>
      </c>
    </row>
    <row r="5" spans="1:5" s="44" customFormat="1" ht="15" x14ac:dyDescent="0.25">
      <c r="A5" s="63" t="s">
        <v>692</v>
      </c>
      <c r="C5" s="64"/>
      <c r="D5" s="64"/>
      <c r="E5" s="44" t="s">
        <v>715</v>
      </c>
    </row>
    <row r="6" spans="1:5" x14ac:dyDescent="0.2">
      <c r="A6" s="2" t="s">
        <v>716</v>
      </c>
      <c r="B6" s="2">
        <v>45.26</v>
      </c>
      <c r="C6" s="2">
        <v>1</v>
      </c>
      <c r="D6" s="2">
        <f t="shared" ref="D6:D11" si="0">B6*C6</f>
        <v>45.26</v>
      </c>
      <c r="E6" s="2" t="s">
        <v>736</v>
      </c>
    </row>
    <row r="7" spans="1:5" x14ac:dyDescent="0.2">
      <c r="A7" s="2" t="s">
        <v>721</v>
      </c>
      <c r="B7" s="2">
        <v>1.53</v>
      </c>
      <c r="C7" s="2">
        <v>1</v>
      </c>
      <c r="D7" s="2">
        <f t="shared" si="0"/>
        <v>1.53</v>
      </c>
    </row>
    <row r="8" spans="1:5" x14ac:dyDescent="0.2">
      <c r="A8" s="2" t="s">
        <v>722</v>
      </c>
      <c r="B8" s="2">
        <v>14.94</v>
      </c>
      <c r="C8" s="2">
        <v>1</v>
      </c>
      <c r="D8" s="2">
        <f t="shared" si="0"/>
        <v>14.94</v>
      </c>
      <c r="E8" s="2" t="s">
        <v>720</v>
      </c>
    </row>
    <row r="9" spans="1:5" x14ac:dyDescent="0.2">
      <c r="A9" s="2" t="s">
        <v>723</v>
      </c>
      <c r="B9" s="2">
        <v>5.87</v>
      </c>
      <c r="C9" s="2">
        <v>0.08</v>
      </c>
      <c r="D9" s="2">
        <f t="shared" si="0"/>
        <v>0.46960000000000002</v>
      </c>
      <c r="E9" s="2" t="s">
        <v>724</v>
      </c>
    </row>
    <row r="10" spans="1:5" x14ac:dyDescent="0.2">
      <c r="A10" s="2" t="s">
        <v>725</v>
      </c>
      <c r="B10" s="2">
        <v>22.9</v>
      </c>
      <c r="C10" s="2">
        <v>0.08</v>
      </c>
      <c r="D10" s="2">
        <f t="shared" si="0"/>
        <v>1.8319999999999999</v>
      </c>
      <c r="E10" s="2" t="s">
        <v>724</v>
      </c>
    </row>
    <row r="11" spans="1:5" x14ac:dyDescent="0.2">
      <c r="A11" s="2" t="s">
        <v>726</v>
      </c>
      <c r="B11" s="2">
        <v>1.8</v>
      </c>
      <c r="C11" s="2">
        <v>0.08</v>
      </c>
      <c r="D11" s="2">
        <f t="shared" si="0"/>
        <v>0.14400000000000002</v>
      </c>
      <c r="E11" s="2" t="s">
        <v>724</v>
      </c>
    </row>
    <row r="12" spans="1:5" ht="15" x14ac:dyDescent="0.25">
      <c r="A12" s="2" t="s">
        <v>735</v>
      </c>
      <c r="B12" s="2">
        <f>SUM(B6:B11)</f>
        <v>92.3</v>
      </c>
      <c r="D12" s="44">
        <f>SUM(D6:D11)</f>
        <v>64.175600000000003</v>
      </c>
    </row>
    <row r="13" spans="1:5" x14ac:dyDescent="0.2">
      <c r="A13" s="2" t="s">
        <v>727</v>
      </c>
      <c r="B13" s="62">
        <f>B14-B12</f>
        <v>11.939140000000009</v>
      </c>
      <c r="C13" s="2">
        <v>0</v>
      </c>
      <c r="D13" s="2">
        <f>B13*C13</f>
        <v>0</v>
      </c>
      <c r="E13" s="2" t="s">
        <v>729</v>
      </c>
    </row>
    <row r="14" spans="1:5" ht="15" x14ac:dyDescent="0.25">
      <c r="A14" s="2" t="s">
        <v>728</v>
      </c>
      <c r="B14" s="64">
        <v>104.23914000000001</v>
      </c>
    </row>
    <row r="16" spans="1:5" ht="15" x14ac:dyDescent="0.25">
      <c r="A16" s="44" t="s">
        <v>769</v>
      </c>
    </row>
    <row r="17" spans="1:6" x14ac:dyDescent="0.2">
      <c r="A17" s="2" t="s">
        <v>732</v>
      </c>
      <c r="B17" s="2">
        <v>27.2</v>
      </c>
      <c r="C17" s="2">
        <v>1</v>
      </c>
      <c r="D17" s="2">
        <f>B17*C17</f>
        <v>27.2</v>
      </c>
    </row>
    <row r="18" spans="1:6" x14ac:dyDescent="0.2">
      <c r="A18" s="2" t="s">
        <v>733</v>
      </c>
      <c r="B18" s="2">
        <v>1.34</v>
      </c>
      <c r="C18" s="2">
        <v>0.08</v>
      </c>
      <c r="D18" s="2">
        <f>B18*C18</f>
        <v>0.1072</v>
      </c>
    </row>
    <row r="19" spans="1:6" x14ac:dyDescent="0.2">
      <c r="A19" s="2" t="s">
        <v>734</v>
      </c>
      <c r="B19" s="2">
        <v>9.1</v>
      </c>
      <c r="C19" s="2">
        <v>0.08</v>
      </c>
      <c r="D19" s="2">
        <f>B19*C19</f>
        <v>0.72799999999999998</v>
      </c>
    </row>
    <row r="20" spans="1:6" ht="15" x14ac:dyDescent="0.25">
      <c r="A20" s="2" t="s">
        <v>735</v>
      </c>
      <c r="B20" s="2">
        <f>SUM(B17:B19)</f>
        <v>37.64</v>
      </c>
      <c r="D20" s="44">
        <f>SUM(D17:D19)</f>
        <v>28.0352</v>
      </c>
    </row>
    <row r="21" spans="1:6" x14ac:dyDescent="0.2">
      <c r="A21" s="2" t="s">
        <v>727</v>
      </c>
      <c r="B21" s="2">
        <f>B22-B20</f>
        <v>5.4135929999999988</v>
      </c>
      <c r="C21" s="2">
        <v>0</v>
      </c>
      <c r="D21" s="2">
        <f>B21*C21</f>
        <v>0</v>
      </c>
    </row>
    <row r="22" spans="1:6" ht="15" x14ac:dyDescent="0.25">
      <c r="A22" s="2" t="s">
        <v>728</v>
      </c>
      <c r="B22" s="44">
        <f>43.020915+0.032678</f>
        <v>43.053592999999999</v>
      </c>
      <c r="E22" s="2" t="s">
        <v>770</v>
      </c>
      <c r="F22" s="6"/>
    </row>
    <row r="24" spans="1:6" ht="15" x14ac:dyDescent="0.25">
      <c r="A24" s="2" t="s">
        <v>1037</v>
      </c>
    </row>
    <row r="26" spans="1:6" ht="15" x14ac:dyDescent="0.25">
      <c r="A26" s="44" t="s">
        <v>739</v>
      </c>
    </row>
    <row r="27" spans="1:6" x14ac:dyDescent="0.2">
      <c r="A27" s="2" t="s">
        <v>740</v>
      </c>
      <c r="B27" s="2">
        <v>13.5</v>
      </c>
      <c r="C27" s="2">
        <v>1</v>
      </c>
      <c r="D27" s="2">
        <f>B27*C27</f>
        <v>13.5</v>
      </c>
    </row>
    <row r="28" spans="1:6" x14ac:dyDescent="0.2">
      <c r="A28" s="2" t="s">
        <v>741</v>
      </c>
      <c r="B28" s="2">
        <v>17</v>
      </c>
      <c r="C28" s="2">
        <v>1</v>
      </c>
      <c r="D28" s="2">
        <f>B28*C28</f>
        <v>17</v>
      </c>
    </row>
    <row r="29" spans="1:6" ht="15" x14ac:dyDescent="0.25">
      <c r="A29" s="2" t="s">
        <v>735</v>
      </c>
      <c r="B29" s="2">
        <f>SUM(B27:B28)</f>
        <v>30.5</v>
      </c>
      <c r="D29" s="44">
        <f>SUM(D27:D28)</f>
        <v>30.5</v>
      </c>
    </row>
    <row r="30" spans="1:6" x14ac:dyDescent="0.2">
      <c r="A30" s="2" t="s">
        <v>727</v>
      </c>
      <c r="B30" s="2">
        <f>B31-B29</f>
        <v>7.2599629999999991</v>
      </c>
    </row>
    <row r="31" spans="1:6" ht="15" x14ac:dyDescent="0.25">
      <c r="A31" s="2" t="s">
        <v>728</v>
      </c>
      <c r="B31" s="44">
        <v>37.759962999999999</v>
      </c>
    </row>
    <row r="33" spans="1:5" ht="15" x14ac:dyDescent="0.25">
      <c r="A33" s="44" t="s">
        <v>744</v>
      </c>
    </row>
    <row r="34" spans="1:5" x14ac:dyDescent="0.2">
      <c r="A34" s="2" t="s">
        <v>742</v>
      </c>
      <c r="B34" s="2">
        <f>14.943+2.314</f>
        <v>17.256999999999998</v>
      </c>
      <c r="C34" s="2">
        <v>0.08</v>
      </c>
      <c r="D34" s="2">
        <f>B34*C34</f>
        <v>1.3805599999999998</v>
      </c>
    </row>
    <row r="35" spans="1:5" x14ac:dyDescent="0.2">
      <c r="A35" s="2" t="s">
        <v>743</v>
      </c>
      <c r="B35" s="2">
        <f>B36-B34</f>
        <v>16.431460000000001</v>
      </c>
      <c r="C35" s="2">
        <v>1</v>
      </c>
      <c r="D35" s="2">
        <f>B35*C35</f>
        <v>16.431460000000001</v>
      </c>
    </row>
    <row r="36" spans="1:5" ht="15" x14ac:dyDescent="0.25">
      <c r="B36" s="2">
        <v>33.688459999999999</v>
      </c>
      <c r="D36" s="44">
        <f>SUM(D34:D35)</f>
        <v>17.81202</v>
      </c>
    </row>
    <row r="38" spans="1:5" ht="15" x14ac:dyDescent="0.25">
      <c r="A38" s="44" t="s">
        <v>621</v>
      </c>
    </row>
    <row r="39" spans="1:5" x14ac:dyDescent="0.2">
      <c r="A39" s="2" t="s">
        <v>748</v>
      </c>
      <c r="B39" s="2">
        <f>8.9+0.75</f>
        <v>9.65</v>
      </c>
      <c r="C39" s="2">
        <v>1</v>
      </c>
      <c r="D39" s="2">
        <f>B39*C39</f>
        <v>9.65</v>
      </c>
    </row>
    <row r="40" spans="1:5" x14ac:dyDescent="0.2">
      <c r="A40" s="2" t="s">
        <v>747</v>
      </c>
      <c r="B40" s="2">
        <f>B41-B39</f>
        <v>10.096905000000001</v>
      </c>
      <c r="C40" s="2">
        <v>0.08</v>
      </c>
      <c r="D40" s="2">
        <f>B40*C40</f>
        <v>0.80775240000000015</v>
      </c>
    </row>
    <row r="41" spans="1:5" ht="15" x14ac:dyDescent="0.25">
      <c r="A41" s="2" t="s">
        <v>746</v>
      </c>
      <c r="B41" s="2">
        <v>19.746905000000002</v>
      </c>
      <c r="D41" s="44">
        <f>SUM(D39:D40)</f>
        <v>10.4577524</v>
      </c>
    </row>
    <row r="43" spans="1:5" ht="15" x14ac:dyDescent="0.25">
      <c r="A43" s="44" t="s">
        <v>749</v>
      </c>
    </row>
    <row r="44" spans="1:5" x14ac:dyDescent="0.2">
      <c r="A44" s="2" t="s">
        <v>750</v>
      </c>
      <c r="B44" s="2">
        <v>7.2</v>
      </c>
      <c r="C44" s="2">
        <v>0.08</v>
      </c>
      <c r="D44" s="2">
        <f>B44*C44</f>
        <v>0.57600000000000007</v>
      </c>
    </row>
    <row r="45" spans="1:5" x14ac:dyDescent="0.2">
      <c r="A45" s="2" t="s">
        <v>751</v>
      </c>
      <c r="B45" s="2">
        <f>B46-B44</f>
        <v>4.0394160000000001</v>
      </c>
      <c r="C45" s="2">
        <v>1</v>
      </c>
      <c r="D45" s="2">
        <f>B45*C45</f>
        <v>4.0394160000000001</v>
      </c>
    </row>
    <row r="46" spans="1:5" ht="15" x14ac:dyDescent="0.25">
      <c r="B46" s="2">
        <v>11.239416</v>
      </c>
      <c r="D46" s="44">
        <f>SUM(D44:D45)</f>
        <v>4.6154159999999997</v>
      </c>
    </row>
    <row r="48" spans="1:5" ht="15" x14ac:dyDescent="0.25">
      <c r="A48" s="44" t="s">
        <v>752</v>
      </c>
      <c r="E48" s="2" t="s">
        <v>768</v>
      </c>
    </row>
    <row r="49" spans="1:5" x14ac:dyDescent="0.2">
      <c r="A49" s="2" t="s">
        <v>753</v>
      </c>
      <c r="B49" s="2">
        <v>8.8000000000000007</v>
      </c>
      <c r="C49" s="2">
        <v>0.5</v>
      </c>
      <c r="D49" s="2">
        <f>B49*C49</f>
        <v>4.4000000000000004</v>
      </c>
      <c r="E49" s="2" t="s">
        <v>759</v>
      </c>
    </row>
    <row r="50" spans="1:5" x14ac:dyDescent="0.2">
      <c r="A50" s="2" t="s">
        <v>755</v>
      </c>
      <c r="B50" s="2">
        <v>0.49</v>
      </c>
      <c r="C50" s="2">
        <v>0</v>
      </c>
      <c r="D50" s="2">
        <f t="shared" ref="D50:D57" si="1">B50*C50</f>
        <v>0</v>
      </c>
    </row>
    <row r="51" spans="1:5" x14ac:dyDescent="0.2">
      <c r="A51" s="2" t="s">
        <v>756</v>
      </c>
      <c r="B51" s="2">
        <v>1.2</v>
      </c>
      <c r="C51" s="2">
        <v>0</v>
      </c>
      <c r="D51" s="2">
        <f t="shared" si="1"/>
        <v>0</v>
      </c>
    </row>
    <row r="52" spans="1:5" x14ac:dyDescent="0.2">
      <c r="A52" s="2" t="s">
        <v>757</v>
      </c>
      <c r="B52" s="2">
        <v>1.2</v>
      </c>
      <c r="C52" s="2">
        <v>1</v>
      </c>
      <c r="D52" s="2">
        <f t="shared" si="1"/>
        <v>1.2</v>
      </c>
    </row>
    <row r="53" spans="1:5" x14ac:dyDescent="0.2">
      <c r="A53" s="2" t="s">
        <v>758</v>
      </c>
      <c r="B53" s="2">
        <v>22.5</v>
      </c>
      <c r="C53" s="2">
        <v>0.5</v>
      </c>
      <c r="D53" s="2">
        <f t="shared" si="1"/>
        <v>11.25</v>
      </c>
      <c r="E53" s="2" t="s">
        <v>760</v>
      </c>
    </row>
    <row r="54" spans="1:5" x14ac:dyDescent="0.2">
      <c r="A54" s="2" t="s">
        <v>761</v>
      </c>
      <c r="B54" s="2">
        <v>7.9</v>
      </c>
      <c r="C54" s="2">
        <v>0</v>
      </c>
      <c r="D54" s="2">
        <f t="shared" si="1"/>
        <v>0</v>
      </c>
    </row>
    <row r="55" spans="1:5" x14ac:dyDescent="0.2">
      <c r="A55" s="2" t="s">
        <v>762</v>
      </c>
      <c r="B55" s="2">
        <v>73.8</v>
      </c>
      <c r="C55" s="2">
        <v>1</v>
      </c>
      <c r="D55" s="2">
        <f t="shared" si="1"/>
        <v>73.8</v>
      </c>
    </row>
    <row r="56" spans="1:5" x14ac:dyDescent="0.2">
      <c r="A56" s="2" t="s">
        <v>763</v>
      </c>
      <c r="B56" s="2">
        <v>2.7</v>
      </c>
      <c r="C56" s="2">
        <v>0.5</v>
      </c>
      <c r="D56" s="2">
        <f t="shared" si="1"/>
        <v>1.35</v>
      </c>
    </row>
    <row r="57" spans="1:5" x14ac:dyDescent="0.2">
      <c r="A57" s="2" t="s">
        <v>764</v>
      </c>
      <c r="B57" s="2">
        <f>18.124+4.85</f>
        <v>22.973999999999997</v>
      </c>
      <c r="C57" s="2">
        <v>1</v>
      </c>
      <c r="D57" s="2">
        <f t="shared" si="1"/>
        <v>22.973999999999997</v>
      </c>
    </row>
    <row r="58" spans="1:5" x14ac:dyDescent="0.2">
      <c r="B58" s="2">
        <f>SUM(B49:B57)</f>
        <v>141.56399999999999</v>
      </c>
      <c r="D58" s="2">
        <f>SUM(D49:D57)</f>
        <v>114.97399999999999</v>
      </c>
    </row>
    <row r="60" spans="1:5" x14ac:dyDescent="0.2">
      <c r="A60" s="2" t="s">
        <v>765</v>
      </c>
      <c r="B60" s="2">
        <v>117.774</v>
      </c>
    </row>
    <row r="61" spans="1:5" x14ac:dyDescent="0.2">
      <c r="A61" s="2" t="s">
        <v>766</v>
      </c>
      <c r="B61" s="2">
        <f>B57/B60</f>
        <v>0.19506852106577</v>
      </c>
    </row>
    <row r="62" spans="1:5" x14ac:dyDescent="0.2">
      <c r="A62" s="2" t="s">
        <v>767</v>
      </c>
      <c r="B62" s="2">
        <v>124</v>
      </c>
    </row>
    <row r="63" spans="1:5" x14ac:dyDescent="0.2">
      <c r="A63" s="2" t="s">
        <v>766</v>
      </c>
      <c r="B63" s="2">
        <f>B62*B61</f>
        <v>24.188496612155479</v>
      </c>
    </row>
    <row r="65" spans="1:5" ht="15" x14ac:dyDescent="0.25">
      <c r="A65" s="44" t="s">
        <v>771</v>
      </c>
    </row>
    <row r="66" spans="1:5" x14ac:dyDescent="0.2">
      <c r="A66" s="2" t="s">
        <v>772</v>
      </c>
      <c r="B66" s="2">
        <v>7.5678879999999999</v>
      </c>
      <c r="C66" s="2">
        <v>0.08</v>
      </c>
      <c r="D66" s="2">
        <f>B66*C66</f>
        <v>0.60543104000000003</v>
      </c>
    </row>
    <row r="68" spans="1:5" ht="15" x14ac:dyDescent="0.25">
      <c r="A68" s="44" t="s">
        <v>776</v>
      </c>
    </row>
    <row r="69" spans="1:5" x14ac:dyDescent="0.2">
      <c r="A69" s="2" t="s">
        <v>774</v>
      </c>
      <c r="B69" s="2">
        <v>1.6</v>
      </c>
      <c r="C69" s="2">
        <v>1</v>
      </c>
      <c r="D69" s="2">
        <f>B69*C69</f>
        <v>1.6</v>
      </c>
    </row>
    <row r="70" spans="1:5" x14ac:dyDescent="0.2">
      <c r="A70" s="2" t="s">
        <v>775</v>
      </c>
      <c r="B70" s="2">
        <f>B71-B69</f>
        <v>4.4016000000000002</v>
      </c>
      <c r="C70" s="2">
        <v>0.08</v>
      </c>
      <c r="D70" s="2">
        <f>B70*C70</f>
        <v>0.352128</v>
      </c>
    </row>
    <row r="71" spans="1:5" ht="15" x14ac:dyDescent="0.25">
      <c r="B71" s="2">
        <v>6.0015999999999998</v>
      </c>
      <c r="D71" s="44">
        <f>SUM(D69:D70)</f>
        <v>1.9521280000000001</v>
      </c>
    </row>
    <row r="73" spans="1:5" ht="15" x14ac:dyDescent="0.25">
      <c r="A73" s="44" t="s">
        <v>778</v>
      </c>
    </row>
    <row r="74" spans="1:5" x14ac:dyDescent="0.2">
      <c r="A74" s="2" t="s">
        <v>777</v>
      </c>
      <c r="B74" s="2">
        <v>2.46</v>
      </c>
      <c r="C74" s="2">
        <v>1</v>
      </c>
      <c r="D74" s="2">
        <f>B74*C74</f>
        <v>2.46</v>
      </c>
    </row>
    <row r="75" spans="1:5" x14ac:dyDescent="0.2">
      <c r="A75" s="2" t="s">
        <v>474</v>
      </c>
      <c r="B75" s="2">
        <f>B76-B74</f>
        <v>3.1459850000000005</v>
      </c>
      <c r="C75" s="2">
        <v>0.08</v>
      </c>
      <c r="D75" s="2">
        <f>B75*C75</f>
        <v>0.25167880000000004</v>
      </c>
    </row>
    <row r="76" spans="1:5" ht="15" x14ac:dyDescent="0.25">
      <c r="B76" s="2">
        <v>5.6059850000000004</v>
      </c>
      <c r="D76" s="44">
        <f>SUM(D74:D75)</f>
        <v>2.7116788000000001</v>
      </c>
    </row>
    <row r="78" spans="1:5" ht="15" x14ac:dyDescent="0.25">
      <c r="A78" s="44" t="s">
        <v>779</v>
      </c>
    </row>
    <row r="79" spans="1:5" x14ac:dyDescent="0.2">
      <c r="A79" s="2" t="s">
        <v>780</v>
      </c>
      <c r="B79" s="24">
        <v>4.3774569999999997</v>
      </c>
      <c r="C79" s="2">
        <v>0.08</v>
      </c>
      <c r="D79" s="2">
        <f>B79*C79</f>
        <v>0.35019655999999999</v>
      </c>
      <c r="E79" s="2" t="s">
        <v>781</v>
      </c>
    </row>
    <row r="80" spans="1:5" x14ac:dyDescent="0.2">
      <c r="A80" s="2" t="s">
        <v>782</v>
      </c>
      <c r="B80" s="2">
        <v>14.156000000000001</v>
      </c>
      <c r="C80" s="2">
        <v>1</v>
      </c>
      <c r="D80" s="2">
        <f>B80*C80</f>
        <v>14.156000000000001</v>
      </c>
    </row>
    <row r="81" spans="2:4" x14ac:dyDescent="0.2">
      <c r="B81" s="26">
        <f>SUM(B79:B80)</f>
        <v>18.533456999999999</v>
      </c>
      <c r="D81" s="2">
        <f>SUM(D79:D80)</f>
        <v>14.506196560000001</v>
      </c>
    </row>
  </sheetData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5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1" sqref="C1"/>
    </sheetView>
  </sheetViews>
  <sheetFormatPr defaultRowHeight="14.25" x14ac:dyDescent="0.2"/>
  <cols>
    <col min="1" max="1" width="38" style="6" customWidth="1"/>
    <col min="2" max="2" width="9" style="24"/>
    <col min="3" max="3" width="8.375" style="24" customWidth="1"/>
    <col min="4" max="4" width="9" style="26"/>
    <col min="5" max="5" width="11.625" style="70" bestFit="1" customWidth="1"/>
    <col min="6" max="6" width="9" style="6"/>
    <col min="7" max="7" width="9" style="68"/>
    <col min="8" max="11" width="9" style="24"/>
    <col min="12" max="12" width="11.625" style="2" bestFit="1" customWidth="1"/>
    <col min="13" max="13" width="11.625" style="72" customWidth="1"/>
    <col min="14" max="14" width="9" style="2"/>
    <col min="15" max="16384" width="9" style="6"/>
  </cols>
  <sheetData>
    <row r="1" spans="1:16" ht="128.25" x14ac:dyDescent="0.2">
      <c r="A1" s="1" t="s">
        <v>404</v>
      </c>
      <c r="B1" s="21" t="s">
        <v>315</v>
      </c>
      <c r="C1" s="22" t="s">
        <v>342</v>
      </c>
      <c r="D1" s="22" t="s">
        <v>694</v>
      </c>
      <c r="E1" s="69" t="s">
        <v>693</v>
      </c>
      <c r="F1" s="1" t="s">
        <v>340</v>
      </c>
      <c r="G1" s="67" t="s">
        <v>19</v>
      </c>
      <c r="H1" s="21" t="s">
        <v>707</v>
      </c>
      <c r="I1" s="21" t="s">
        <v>689</v>
      </c>
      <c r="J1" s="21" t="s">
        <v>691</v>
      </c>
      <c r="K1" s="21" t="s">
        <v>688</v>
      </c>
      <c r="L1" s="61" t="s">
        <v>21</v>
      </c>
      <c r="M1" s="65" t="s">
        <v>738</v>
      </c>
      <c r="N1" s="3" t="s">
        <v>448</v>
      </c>
      <c r="O1" s="1"/>
      <c r="P1" s="1"/>
    </row>
    <row r="2" spans="1:16" x14ac:dyDescent="0.2">
      <c r="A2" s="13" t="s">
        <v>692</v>
      </c>
      <c r="B2" s="24">
        <v>5946</v>
      </c>
      <c r="C2" s="25">
        <v>104.23914000000001</v>
      </c>
      <c r="D2" s="25">
        <f>'EDU utrakningar'!D12</f>
        <v>64.175600000000003</v>
      </c>
      <c r="E2" s="70">
        <f>(D2-22)/(B2-(C2-D2))</f>
        <v>7.1412214279054408E-3</v>
      </c>
      <c r="F2" s="6">
        <v>5615</v>
      </c>
      <c r="H2" s="24">
        <v>5888</v>
      </c>
      <c r="I2" s="24">
        <v>3766</v>
      </c>
      <c r="J2" s="24">
        <f t="shared" ref="J2:J8" si="0">I2*E2</f>
        <v>26.89383989749189</v>
      </c>
      <c r="K2" s="24">
        <f t="shared" ref="K2:K8" si="1">H2-I2</f>
        <v>2122</v>
      </c>
      <c r="L2" s="25">
        <f t="shared" ref="L2:L8" si="2">E2*F2</f>
        <v>40.097958317689049</v>
      </c>
      <c r="M2" s="66">
        <f t="shared" ref="M2:M8" si="3">D2/C2</f>
        <v>0.61565742004394897</v>
      </c>
      <c r="N2" s="6" t="s">
        <v>737</v>
      </c>
    </row>
    <row r="3" spans="1:16" x14ac:dyDescent="0.2">
      <c r="A3" s="6" t="s">
        <v>731</v>
      </c>
      <c r="B3" s="24">
        <v>7231.3140000000003</v>
      </c>
      <c r="C3" s="25">
        <f>'EDU utrakningar'!B22</f>
        <v>43.053592999999999</v>
      </c>
      <c r="D3" s="25">
        <f>'EDU utrakningar'!D20</f>
        <v>28.0352</v>
      </c>
      <c r="E3" s="70">
        <f>D3/(B3-(C3-D3))</f>
        <v>3.884984973842411E-3</v>
      </c>
      <c r="F3" s="6">
        <v>6796</v>
      </c>
      <c r="G3" s="68">
        <v>0.52</v>
      </c>
      <c r="H3" s="24">
        <v>7308.0870000000004</v>
      </c>
      <c r="I3" s="24">
        <v>4595.5630000000001</v>
      </c>
      <c r="J3" s="24">
        <f t="shared" si="0"/>
        <v>17.853693201346154</v>
      </c>
      <c r="K3" s="24">
        <f t="shared" si="1"/>
        <v>2712.5240000000003</v>
      </c>
      <c r="L3" s="25">
        <f t="shared" si="2"/>
        <v>26.402357882233026</v>
      </c>
      <c r="M3" s="66">
        <f t="shared" si="3"/>
        <v>0.65116981061255441</v>
      </c>
      <c r="N3" s="6" t="s">
        <v>737</v>
      </c>
    </row>
    <row r="4" spans="1:16" x14ac:dyDescent="0.2">
      <c r="A4" s="71" t="s">
        <v>382</v>
      </c>
      <c r="B4" s="24">
        <v>4531</v>
      </c>
      <c r="C4" s="25">
        <v>37.75996335</v>
      </c>
      <c r="D4" s="25">
        <f>'EDU utrakningar'!D29</f>
        <v>30.5</v>
      </c>
      <c r="E4" s="70">
        <f>D4/(B4-(C4-D4))</f>
        <v>6.7422088256394157E-3</v>
      </c>
      <c r="F4" s="6">
        <v>4412</v>
      </c>
      <c r="H4" s="24">
        <v>4189</v>
      </c>
      <c r="I4" s="24">
        <f>0.71*H4</f>
        <v>2974.19</v>
      </c>
      <c r="J4" s="24">
        <f t="shared" si="0"/>
        <v>20.052610067128494</v>
      </c>
      <c r="K4" s="24">
        <f t="shared" si="1"/>
        <v>1214.81</v>
      </c>
      <c r="L4" s="25">
        <f t="shared" si="2"/>
        <v>29.746625338721103</v>
      </c>
      <c r="M4" s="66">
        <f t="shared" si="3"/>
        <v>0.80773383483699812</v>
      </c>
      <c r="N4" s="6" t="s">
        <v>737</v>
      </c>
    </row>
    <row r="5" spans="1:16" x14ac:dyDescent="0.2">
      <c r="A5" s="71" t="s">
        <v>383</v>
      </c>
      <c r="B5" s="24">
        <v>5607</v>
      </c>
      <c r="C5" s="25">
        <f>'EDU utrakningar'!B36</f>
        <v>33.688459999999999</v>
      </c>
      <c r="D5" s="25">
        <f>'EDU utrakningar'!D36</f>
        <v>17.81202</v>
      </c>
      <c r="E5" s="70">
        <f>D5/(B5-(C5-D5))</f>
        <v>3.1857675490183589E-3</v>
      </c>
      <c r="F5" s="6">
        <v>5138</v>
      </c>
      <c r="G5" s="68">
        <f>2143/F5</f>
        <v>0.41708836123005061</v>
      </c>
      <c r="H5" s="24">
        <v>5493.5</v>
      </c>
      <c r="I5" s="24">
        <v>3376.7</v>
      </c>
      <c r="J5" s="24">
        <f t="shared" si="0"/>
        <v>10.757381282770291</v>
      </c>
      <c r="K5" s="24">
        <f t="shared" si="1"/>
        <v>2116.8000000000002</v>
      </c>
      <c r="L5" s="25">
        <f t="shared" si="2"/>
        <v>16.368473666856328</v>
      </c>
      <c r="M5" s="66">
        <f t="shared" si="3"/>
        <v>0.52872764145348294</v>
      </c>
      <c r="N5" s="6" t="s">
        <v>737</v>
      </c>
    </row>
    <row r="6" spans="1:16" x14ac:dyDescent="0.2">
      <c r="A6" s="71" t="s">
        <v>384</v>
      </c>
      <c r="B6" s="24">
        <v>1615</v>
      </c>
      <c r="C6" s="25">
        <v>22.531661</v>
      </c>
      <c r="D6" s="25">
        <f>C6</f>
        <v>22.531661</v>
      </c>
      <c r="E6" s="70">
        <f>D6/(B6-(C6-D6))</f>
        <v>1.3951492879256965E-2</v>
      </c>
      <c r="F6" s="6">
        <v>1733</v>
      </c>
      <c r="G6" s="68">
        <f>908/1993</f>
        <v>0.45559458103361766</v>
      </c>
      <c r="H6" s="24">
        <v>1586</v>
      </c>
      <c r="I6" s="24">
        <f>0.66*H6</f>
        <v>1046.76</v>
      </c>
      <c r="J6" s="24">
        <f t="shared" si="0"/>
        <v>14.60386468629102</v>
      </c>
      <c r="K6" s="24">
        <f t="shared" si="1"/>
        <v>539.24</v>
      </c>
      <c r="L6" s="25">
        <f t="shared" si="2"/>
        <v>24.177937159752322</v>
      </c>
      <c r="M6" s="66">
        <f t="shared" si="3"/>
        <v>1</v>
      </c>
      <c r="N6" s="6" t="s">
        <v>745</v>
      </c>
    </row>
    <row r="7" spans="1:16" x14ac:dyDescent="0.2">
      <c r="A7" s="71" t="s">
        <v>385</v>
      </c>
      <c r="B7" s="24">
        <v>3093.4</v>
      </c>
      <c r="C7" s="25">
        <v>19.746905000000002</v>
      </c>
      <c r="D7" s="25">
        <f>'EDU utrakningar'!D41</f>
        <v>10.4577524</v>
      </c>
      <c r="E7" s="70">
        <f>D7/(B7-(C7-D7))</f>
        <v>3.3908484219418397E-3</v>
      </c>
      <c r="F7" s="6">
        <v>2959</v>
      </c>
      <c r="H7" s="24">
        <v>3089</v>
      </c>
      <c r="I7" s="24">
        <v>1948</v>
      </c>
      <c r="J7" s="24">
        <f t="shared" si="0"/>
        <v>6.6053727259427033</v>
      </c>
      <c r="K7" s="24">
        <f t="shared" si="1"/>
        <v>1141</v>
      </c>
      <c r="L7" s="25">
        <f t="shared" si="2"/>
        <v>10.033520480525903</v>
      </c>
      <c r="M7" s="66">
        <f t="shared" si="3"/>
        <v>0.52958944199103608</v>
      </c>
      <c r="N7" s="6" t="s">
        <v>737</v>
      </c>
    </row>
    <row r="8" spans="1:16" x14ac:dyDescent="0.2">
      <c r="A8" s="71" t="s">
        <v>386</v>
      </c>
      <c r="B8" s="24">
        <v>5796</v>
      </c>
      <c r="C8" s="25">
        <v>11.239416</v>
      </c>
      <c r="D8" s="25">
        <f>'EDU utrakningar'!D46</f>
        <v>4.6154159999999997</v>
      </c>
      <c r="E8" s="70">
        <f t="shared" ref="E8:E18" si="4">D8/(B8-(C8-D8))</f>
        <v>7.9722166948562327E-4</v>
      </c>
      <c r="F8" s="6">
        <v>4283</v>
      </c>
      <c r="H8" s="24">
        <v>5797</v>
      </c>
      <c r="I8" s="24">
        <f>0.52*H8</f>
        <v>3014.44</v>
      </c>
      <c r="J8" s="24">
        <f t="shared" si="0"/>
        <v>2.4031768893642425</v>
      </c>
      <c r="K8" s="24">
        <f t="shared" si="1"/>
        <v>2782.56</v>
      </c>
      <c r="L8" s="25">
        <f t="shared" si="2"/>
        <v>3.4145004104069243</v>
      </c>
      <c r="M8" s="66">
        <f t="shared" si="3"/>
        <v>0.41064553531962866</v>
      </c>
      <c r="N8" s="6" t="s">
        <v>737</v>
      </c>
    </row>
    <row r="9" spans="1:16" x14ac:dyDescent="0.2">
      <c r="A9" s="71" t="s">
        <v>387</v>
      </c>
      <c r="B9" s="24">
        <v>210.685</v>
      </c>
      <c r="C9" s="25">
        <f>'EDU utrakningar'!B58</f>
        <v>141.56399999999999</v>
      </c>
      <c r="D9" s="25">
        <f>'EDU utrakningar'!D58</f>
        <v>114.97399999999999</v>
      </c>
      <c r="E9" s="70">
        <f t="shared" si="4"/>
        <v>0.62453624487357062</v>
      </c>
      <c r="F9" s="6">
        <v>124</v>
      </c>
      <c r="H9" s="24">
        <v>210.685</v>
      </c>
      <c r="K9" s="24">
        <f t="shared" ref="K9:K18" si="5">H9-I9</f>
        <v>210.685</v>
      </c>
      <c r="L9" s="25">
        <f>'EDU utrakningar'!B63</f>
        <v>24.188496612155479</v>
      </c>
      <c r="M9" s="66">
        <f t="shared" ref="M9:M18" si="6">D9/C9</f>
        <v>0.81216976067361757</v>
      </c>
      <c r="N9" s="2" t="s">
        <v>754</v>
      </c>
    </row>
    <row r="10" spans="1:16" x14ac:dyDescent="0.2">
      <c r="A10" s="71" t="s">
        <v>388</v>
      </c>
      <c r="B10" s="24">
        <v>4038</v>
      </c>
      <c r="C10" s="25">
        <v>7.5678888900000008</v>
      </c>
      <c r="D10" s="25">
        <f>'EDU utrakningar'!D66</f>
        <v>0.60543104000000003</v>
      </c>
      <c r="E10" s="70">
        <f t="shared" si="4"/>
        <v>1.5019235957725328E-4</v>
      </c>
      <c r="F10" s="6">
        <v>3621</v>
      </c>
      <c r="G10" s="68">
        <f>2302/F10</f>
        <v>0.63573598453465896</v>
      </c>
      <c r="H10" s="24">
        <v>4031</v>
      </c>
      <c r="I10" s="24">
        <v>2461</v>
      </c>
      <c r="J10" s="24">
        <f t="shared" ref="J10:J18" si="7">I10*E10</f>
        <v>0.36962339691962032</v>
      </c>
      <c r="K10" s="24">
        <f t="shared" si="5"/>
        <v>1570</v>
      </c>
      <c r="L10" s="25">
        <f t="shared" ref="L10:L18" si="8">E10*F10</f>
        <v>0.54384653402923411</v>
      </c>
      <c r="M10" s="66">
        <f t="shared" si="6"/>
        <v>7.9999990591828038E-2</v>
      </c>
      <c r="N10" s="6" t="s">
        <v>737</v>
      </c>
    </row>
    <row r="11" spans="1:16" x14ac:dyDescent="0.2">
      <c r="A11" s="71" t="s">
        <v>389</v>
      </c>
      <c r="B11" s="24">
        <v>3970</v>
      </c>
      <c r="C11" s="25">
        <v>6.0015999999999998</v>
      </c>
      <c r="D11" s="25">
        <f>'EDU utrakningar'!D71</f>
        <v>1.9521280000000001</v>
      </c>
      <c r="E11" s="70">
        <f t="shared" si="4"/>
        <v>4.9222197458535723E-4</v>
      </c>
      <c r="F11" s="6">
        <v>3822</v>
      </c>
      <c r="H11" s="24">
        <v>4078</v>
      </c>
      <c r="I11" s="24">
        <v>2512</v>
      </c>
      <c r="J11" s="24">
        <f t="shared" si="7"/>
        <v>1.2364616001584174</v>
      </c>
      <c r="K11" s="24">
        <f t="shared" si="5"/>
        <v>1566</v>
      </c>
      <c r="L11" s="25">
        <f t="shared" si="8"/>
        <v>1.8812723868652352</v>
      </c>
      <c r="M11" s="66">
        <f t="shared" si="6"/>
        <v>0.32526792855238607</v>
      </c>
      <c r="N11" s="6" t="s">
        <v>737</v>
      </c>
    </row>
    <row r="12" spans="1:16" x14ac:dyDescent="0.2">
      <c r="A12" s="71" t="s">
        <v>390</v>
      </c>
      <c r="B12" s="24">
        <v>3423</v>
      </c>
      <c r="C12" s="25">
        <v>5.6059850000000004</v>
      </c>
      <c r="D12" s="25">
        <f>'EDU utrakningar'!D76</f>
        <v>2.7116788000000001</v>
      </c>
      <c r="E12" s="70">
        <f t="shared" si="4"/>
        <v>7.9286403485007997E-4</v>
      </c>
      <c r="F12" s="6">
        <v>3697</v>
      </c>
      <c r="H12" s="24">
        <v>3479</v>
      </c>
      <c r="I12" s="24">
        <f>0.63*H12</f>
        <v>2191.77</v>
      </c>
      <c r="J12" s="24">
        <f t="shared" si="7"/>
        <v>1.7377756056633598</v>
      </c>
      <c r="K12" s="24">
        <f t="shared" si="5"/>
        <v>1287.23</v>
      </c>
      <c r="L12" s="25">
        <f t="shared" si="8"/>
        <v>2.9312183368407458</v>
      </c>
      <c r="M12" s="66">
        <f t="shared" si="6"/>
        <v>0.48371139059415963</v>
      </c>
      <c r="N12" s="6" t="s">
        <v>737</v>
      </c>
    </row>
    <row r="13" spans="1:16" x14ac:dyDescent="0.2">
      <c r="A13" s="71" t="s">
        <v>391</v>
      </c>
      <c r="B13" s="24">
        <v>46</v>
      </c>
      <c r="C13" s="25">
        <f>'EDU utrakningar'!B81</f>
        <v>18.533456999999999</v>
      </c>
      <c r="D13" s="25">
        <f>'EDU utrakningar'!D81</f>
        <v>14.506196560000001</v>
      </c>
      <c r="E13" s="70">
        <f t="shared" si="4"/>
        <v>0.34560995331894895</v>
      </c>
      <c r="F13" s="6">
        <v>41.62</v>
      </c>
      <c r="G13" s="68">
        <f>16.65/F13</f>
        <v>0.40004805382027869</v>
      </c>
      <c r="H13" s="24">
        <v>46</v>
      </c>
      <c r="I13" s="24">
        <v>29.390999999999998</v>
      </c>
      <c r="J13" s="24">
        <f t="shared" si="7"/>
        <v>10.157822137997227</v>
      </c>
      <c r="K13" s="24">
        <f t="shared" si="5"/>
        <v>16.609000000000002</v>
      </c>
      <c r="L13" s="25">
        <f t="shared" si="8"/>
        <v>14.384286257134654</v>
      </c>
      <c r="M13" s="66">
        <f t="shared" si="6"/>
        <v>0.78270322476805065</v>
      </c>
      <c r="N13" s="6" t="s">
        <v>737</v>
      </c>
    </row>
    <row r="14" spans="1:16" x14ac:dyDescent="0.2">
      <c r="A14" s="71" t="s">
        <v>392</v>
      </c>
      <c r="B14" s="24">
        <v>66.198999999999998</v>
      </c>
      <c r="C14" s="25">
        <v>4.1500000000000004</v>
      </c>
      <c r="D14" s="25">
        <f>C14</f>
        <v>4.1500000000000004</v>
      </c>
      <c r="E14" s="70">
        <f t="shared" si="4"/>
        <v>6.2689768727624287E-2</v>
      </c>
      <c r="F14" s="6">
        <v>49.96</v>
      </c>
      <c r="H14" s="24">
        <v>61.198999999999998</v>
      </c>
      <c r="I14" s="24">
        <v>42.113</v>
      </c>
      <c r="J14" s="24">
        <f t="shared" si="7"/>
        <v>2.6400542304264416</v>
      </c>
      <c r="K14" s="24">
        <f t="shared" si="5"/>
        <v>19.085999999999999</v>
      </c>
      <c r="L14" s="25">
        <f t="shared" si="8"/>
        <v>3.1319808456321097</v>
      </c>
      <c r="M14" s="66">
        <f t="shared" si="6"/>
        <v>1</v>
      </c>
      <c r="N14" s="6" t="s">
        <v>1034</v>
      </c>
    </row>
    <row r="15" spans="1:16" x14ac:dyDescent="0.2">
      <c r="A15" s="71" t="s">
        <v>393</v>
      </c>
      <c r="B15" s="6">
        <v>596.55899999999997</v>
      </c>
      <c r="C15" s="25">
        <v>2.2050000000000001</v>
      </c>
      <c r="D15" s="25">
        <f>C15</f>
        <v>2.2050000000000001</v>
      </c>
      <c r="E15" s="70">
        <f t="shared" si="4"/>
        <v>3.6961976937737932E-3</v>
      </c>
      <c r="F15" s="6">
        <v>641</v>
      </c>
      <c r="I15" s="24">
        <v>292.83</v>
      </c>
      <c r="J15" s="24">
        <f t="shared" si="7"/>
        <v>1.0823575706677797</v>
      </c>
      <c r="L15" s="25">
        <f t="shared" si="8"/>
        <v>2.3692627217090014</v>
      </c>
      <c r="M15" s="66">
        <f t="shared" si="6"/>
        <v>1</v>
      </c>
      <c r="N15" s="6" t="s">
        <v>783</v>
      </c>
    </row>
    <row r="16" spans="1:16" x14ac:dyDescent="0.2">
      <c r="A16" s="71" t="s">
        <v>394</v>
      </c>
      <c r="B16" s="24">
        <v>1578</v>
      </c>
      <c r="C16" s="25">
        <v>2.024464</v>
      </c>
      <c r="D16" s="25">
        <f>C16*0.08</f>
        <v>0.16195712000000001</v>
      </c>
      <c r="E16" s="70">
        <f t="shared" si="4"/>
        <v>1.0275570545524058E-4</v>
      </c>
      <c r="F16" s="6">
        <v>1386</v>
      </c>
      <c r="H16" s="24">
        <v>1574</v>
      </c>
      <c r="I16" s="24">
        <v>974</v>
      </c>
      <c r="J16" s="24">
        <f t="shared" si="7"/>
        <v>0.10008405711340433</v>
      </c>
      <c r="K16" s="24">
        <f t="shared" si="5"/>
        <v>600</v>
      </c>
      <c r="L16" s="25">
        <f t="shared" si="8"/>
        <v>0.14241940776096346</v>
      </c>
      <c r="M16" s="66">
        <f t="shared" si="6"/>
        <v>0.08</v>
      </c>
      <c r="N16" s="6" t="s">
        <v>773</v>
      </c>
    </row>
    <row r="17" spans="1:14" x14ac:dyDescent="0.2">
      <c r="A17" s="71" t="s">
        <v>395</v>
      </c>
      <c r="B17" s="24">
        <v>562.9</v>
      </c>
      <c r="C17" s="25">
        <v>1.7</v>
      </c>
      <c r="D17" s="25">
        <f>C17/2</f>
        <v>0.85</v>
      </c>
      <c r="E17" s="70">
        <f t="shared" si="4"/>
        <v>1.5123209678854195E-3</v>
      </c>
      <c r="F17" s="6">
        <v>577</v>
      </c>
      <c r="H17" s="24">
        <v>572.5</v>
      </c>
      <c r="I17" s="24">
        <f>0.69*H17</f>
        <v>395.02499999999998</v>
      </c>
      <c r="J17" s="24">
        <f t="shared" si="7"/>
        <v>0.59740459033893778</v>
      </c>
      <c r="K17" s="24">
        <f t="shared" si="5"/>
        <v>177.47500000000002</v>
      </c>
      <c r="L17" s="25">
        <f t="shared" si="8"/>
        <v>0.87260919846988705</v>
      </c>
      <c r="M17" s="66">
        <f t="shared" si="6"/>
        <v>0.5</v>
      </c>
      <c r="N17" s="6" t="s">
        <v>785</v>
      </c>
    </row>
    <row r="18" spans="1:14" x14ac:dyDescent="0.2">
      <c r="A18" s="71" t="s">
        <v>396</v>
      </c>
      <c r="B18" s="24">
        <v>437</v>
      </c>
      <c r="C18" s="25">
        <v>1.4</v>
      </c>
      <c r="D18" s="25">
        <f>C18/2</f>
        <v>0.7</v>
      </c>
      <c r="E18" s="70">
        <f t="shared" si="4"/>
        <v>1.6044006417602567E-3</v>
      </c>
      <c r="F18" s="6">
        <v>418</v>
      </c>
      <c r="H18" s="24">
        <v>407</v>
      </c>
      <c r="I18" s="24">
        <f>0.68*H18</f>
        <v>276.76000000000005</v>
      </c>
      <c r="J18" s="24">
        <f t="shared" si="7"/>
        <v>0.44403392161356869</v>
      </c>
      <c r="K18" s="24">
        <f t="shared" si="5"/>
        <v>130.23999999999995</v>
      </c>
      <c r="L18" s="25">
        <f t="shared" si="8"/>
        <v>0.67063946825578724</v>
      </c>
      <c r="M18" s="66">
        <f t="shared" si="6"/>
        <v>0.5</v>
      </c>
      <c r="N18" s="6" t="s">
        <v>785</v>
      </c>
    </row>
    <row r="19" spans="1:14" x14ac:dyDescent="0.2">
      <c r="B19" s="24">
        <f>SUM(B2:B18)</f>
        <v>48748.057000000001</v>
      </c>
      <c r="C19" s="25">
        <f>SUM(C2:C18)</f>
        <v>463.01153323999995</v>
      </c>
      <c r="D19" s="25">
        <f>SUM(D2:D18)</f>
        <v>320.94404092000002</v>
      </c>
      <c r="E19" s="70">
        <f>AVERAGE(E2:E18)</f>
        <v>6.3545921532065924E-2</v>
      </c>
      <c r="F19" s="6">
        <f>SUM(F2:F18)</f>
        <v>45313.58</v>
      </c>
      <c r="L19" s="25">
        <f>SUM(L2:L18)</f>
        <v>201.35740502503779</v>
      </c>
      <c r="M19" s="73">
        <f>D19/C19</f>
        <v>0.69316640705284571</v>
      </c>
      <c r="N19" s="6"/>
    </row>
    <row r="20" spans="1:14" x14ac:dyDescent="0.2">
      <c r="L20" s="26"/>
      <c r="N20" s="6"/>
    </row>
    <row r="21" spans="1:14" x14ac:dyDescent="0.2">
      <c r="L21" s="26"/>
      <c r="N21" s="6"/>
    </row>
    <row r="22" spans="1:14" x14ac:dyDescent="0.2">
      <c r="A22" s="71" t="s">
        <v>397</v>
      </c>
      <c r="B22" s="24">
        <v>449.5</v>
      </c>
      <c r="C22" s="25">
        <v>0.7</v>
      </c>
      <c r="D22" s="25">
        <f>0.08*C22</f>
        <v>5.5999999999999994E-2</v>
      </c>
      <c r="E22" s="70">
        <f>D22/(B22-(C22-D22))</f>
        <v>1.2476161619762239E-4</v>
      </c>
      <c r="F22" s="6">
        <v>472</v>
      </c>
      <c r="G22" s="68">
        <v>0.53</v>
      </c>
      <c r="H22" s="24">
        <v>443.2</v>
      </c>
      <c r="I22" s="24">
        <v>310.2</v>
      </c>
      <c r="J22" s="24">
        <f>I22*E22</f>
        <v>3.8701053344502467E-2</v>
      </c>
      <c r="K22" s="24">
        <f>H22-I22</f>
        <v>133</v>
      </c>
      <c r="L22" s="25">
        <f>E22*F22</f>
        <v>5.8887482845277769E-2</v>
      </c>
      <c r="M22" s="66">
        <f>D22/C22</f>
        <v>0.08</v>
      </c>
      <c r="N22" s="6" t="s">
        <v>773</v>
      </c>
    </row>
    <row r="23" spans="1:14" x14ac:dyDescent="0.2">
      <c r="A23" s="71" t="s">
        <v>398</v>
      </c>
      <c r="B23" s="24">
        <v>471</v>
      </c>
      <c r="C23" s="25">
        <v>0.28399999999999997</v>
      </c>
      <c r="D23" s="25">
        <f>C23</f>
        <v>0.28399999999999997</v>
      </c>
      <c r="E23" s="70">
        <f>D23/(B23-(C23-D23))</f>
        <v>6.0297239915074307E-4</v>
      </c>
      <c r="F23" s="6">
        <v>486</v>
      </c>
      <c r="H23" s="24">
        <v>478</v>
      </c>
      <c r="I23" s="24">
        <f>0.7*H23</f>
        <v>334.59999999999997</v>
      </c>
      <c r="J23" s="24">
        <f>I23*E23</f>
        <v>0.20175456475583861</v>
      </c>
      <c r="K23" s="24">
        <f>H23-I23</f>
        <v>143.40000000000003</v>
      </c>
      <c r="L23" s="25">
        <f>E23*F23</f>
        <v>0.29304458598726113</v>
      </c>
      <c r="M23" s="66">
        <f>D23/C23</f>
        <v>1</v>
      </c>
      <c r="N23" s="6" t="s">
        <v>786</v>
      </c>
    </row>
    <row r="24" spans="1:14" x14ac:dyDescent="0.2">
      <c r="A24" s="71" t="s">
        <v>399</v>
      </c>
      <c r="C24" s="25"/>
      <c r="D24" s="25"/>
      <c r="H24" s="24">
        <v>169</v>
      </c>
      <c r="I24" s="24">
        <f>0.3*H24</f>
        <v>50.699999999999996</v>
      </c>
      <c r="J24" s="24">
        <f>I24*E24</f>
        <v>0</v>
      </c>
      <c r="K24" s="24">
        <f>H24-I24</f>
        <v>118.30000000000001</v>
      </c>
      <c r="L24" s="25">
        <f>E24*F24</f>
        <v>0</v>
      </c>
      <c r="M24" s="66"/>
      <c r="N24" s="6" t="s">
        <v>1035</v>
      </c>
    </row>
    <row r="25" spans="1:14" x14ac:dyDescent="0.2">
      <c r="A25" s="71" t="s">
        <v>400</v>
      </c>
      <c r="B25" s="24">
        <v>158</v>
      </c>
      <c r="C25" s="25">
        <v>2.8628000000000001E-2</v>
      </c>
      <c r="D25" s="25">
        <f>C25</f>
        <v>2.8628000000000001E-2</v>
      </c>
      <c r="E25" s="70">
        <f>D25/(B25-(C25-D25))</f>
        <v>1.8118987341772153E-4</v>
      </c>
      <c r="F25" s="6">
        <v>81</v>
      </c>
      <c r="H25" s="24">
        <v>158</v>
      </c>
      <c r="I25" s="24">
        <v>92</v>
      </c>
      <c r="J25" s="24">
        <f>I25*E25</f>
        <v>1.6669468354430381E-2</v>
      </c>
      <c r="K25" s="24">
        <f>H25-I25</f>
        <v>66</v>
      </c>
      <c r="L25" s="25">
        <f>E25*F25</f>
        <v>1.4676379746835444E-2</v>
      </c>
      <c r="M25" s="66">
        <f>D25/C25</f>
        <v>1</v>
      </c>
      <c r="N25" s="6" t="s">
        <v>787</v>
      </c>
    </row>
    <row r="26" spans="1:14" x14ac:dyDescent="0.2">
      <c r="A26" s="71"/>
      <c r="C26" s="25"/>
      <c r="D26" s="25"/>
      <c r="L26" s="25"/>
      <c r="M26" s="66"/>
      <c r="N26" s="6"/>
    </row>
    <row r="27" spans="1:14" x14ac:dyDescent="0.2">
      <c r="A27" s="71" t="s">
        <v>1001</v>
      </c>
      <c r="C27" s="24">
        <f>COUNTIF(C2:C18,"&gt;1")</f>
        <v>17</v>
      </c>
      <c r="L27" s="26"/>
      <c r="N27" s="6"/>
    </row>
    <row r="28" spans="1:14" x14ac:dyDescent="0.2">
      <c r="A28" s="71" t="s">
        <v>1002</v>
      </c>
      <c r="C28" s="24">
        <f>C27+COUNTIF(C22:C25,"&gt;0")</f>
        <v>20</v>
      </c>
      <c r="L28" s="26"/>
      <c r="N28" s="6"/>
    </row>
    <row r="29" spans="1:14" x14ac:dyDescent="0.2">
      <c r="L29" s="26"/>
      <c r="N29" s="6"/>
    </row>
    <row r="30" spans="1:14" x14ac:dyDescent="0.2">
      <c r="L30" s="26"/>
      <c r="N30" s="6"/>
    </row>
    <row r="31" spans="1:14" x14ac:dyDescent="0.2">
      <c r="L31" s="26"/>
      <c r="N31" s="6"/>
    </row>
    <row r="32" spans="1:14" x14ac:dyDescent="0.2">
      <c r="L32" s="26"/>
      <c r="N32" s="6"/>
    </row>
    <row r="33" spans="12:14" x14ac:dyDescent="0.2">
      <c r="L33" s="26"/>
      <c r="N33" s="6"/>
    </row>
    <row r="34" spans="12:14" x14ac:dyDescent="0.2">
      <c r="L34" s="26"/>
      <c r="N34" s="6"/>
    </row>
    <row r="35" spans="12:14" x14ac:dyDescent="0.2">
      <c r="L35" s="26"/>
      <c r="N35" s="6"/>
    </row>
    <row r="36" spans="12:14" x14ac:dyDescent="0.2">
      <c r="L36" s="26"/>
      <c r="N36" s="6"/>
    </row>
    <row r="37" spans="12:14" x14ac:dyDescent="0.2">
      <c r="L37" s="26"/>
      <c r="N37" s="6"/>
    </row>
    <row r="38" spans="12:14" x14ac:dyDescent="0.2">
      <c r="L38" s="26"/>
      <c r="N38" s="6"/>
    </row>
    <row r="39" spans="12:14" x14ac:dyDescent="0.2">
      <c r="L39" s="26"/>
      <c r="N39" s="6"/>
    </row>
    <row r="40" spans="12:14" x14ac:dyDescent="0.2">
      <c r="L40" s="26"/>
      <c r="N40" s="6"/>
    </row>
    <row r="41" spans="12:14" x14ac:dyDescent="0.2">
      <c r="L41" s="26"/>
      <c r="N41" s="6"/>
    </row>
    <row r="42" spans="12:14" x14ac:dyDescent="0.2">
      <c r="L42" s="26"/>
      <c r="N42" s="6"/>
    </row>
    <row r="43" spans="12:14" x14ac:dyDescent="0.2">
      <c r="L43" s="26"/>
      <c r="N43" s="6"/>
    </row>
    <row r="44" spans="12:14" x14ac:dyDescent="0.2">
      <c r="N44" s="6"/>
    </row>
    <row r="45" spans="12:14" x14ac:dyDescent="0.2">
      <c r="N45" s="6"/>
    </row>
    <row r="46" spans="12:14" x14ac:dyDescent="0.2">
      <c r="N46" s="6"/>
    </row>
    <row r="47" spans="12:14" x14ac:dyDescent="0.2">
      <c r="N47" s="6"/>
    </row>
    <row r="48" spans="12:14" x14ac:dyDescent="0.2">
      <c r="N48" s="6"/>
    </row>
    <row r="49" spans="14:14" x14ac:dyDescent="0.2">
      <c r="N49" s="6"/>
    </row>
    <row r="50" spans="14:14" x14ac:dyDescent="0.2">
      <c r="N50" s="6"/>
    </row>
    <row r="51" spans="14:14" x14ac:dyDescent="0.2">
      <c r="N51" s="6"/>
    </row>
    <row r="52" spans="14:14" x14ac:dyDescent="0.2">
      <c r="N52" s="6"/>
    </row>
    <row r="53" spans="14:14" x14ac:dyDescent="0.2">
      <c r="N53" s="6"/>
    </row>
  </sheetData>
  <pageMargins left="0.7" right="0.7" top="0.75" bottom="0.75" header="0.3" footer="0.3"/>
  <pageSetup paperSize="9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H19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H20" sqref="H20"/>
    </sheetView>
  </sheetViews>
  <sheetFormatPr defaultRowHeight="14.25" x14ac:dyDescent="0.2"/>
  <cols>
    <col min="1" max="1" width="38" customWidth="1"/>
    <col min="2" max="2" width="25.375" customWidth="1"/>
    <col min="5" max="6" width="8.375" style="5" customWidth="1"/>
    <col min="7" max="7" width="8.375" style="6" customWidth="1"/>
    <col min="8" max="8" width="11.625" bestFit="1" customWidth="1"/>
    <col min="12" max="13" width="11.625" bestFit="1" customWidth="1"/>
    <col min="15" max="16" width="9" style="5"/>
    <col min="20" max="86" width="9" style="2"/>
  </cols>
  <sheetData>
    <row r="1" spans="1:86" ht="128.25" x14ac:dyDescent="0.2">
      <c r="A1" s="1" t="s">
        <v>404</v>
      </c>
      <c r="B1" s="1" t="s">
        <v>1</v>
      </c>
      <c r="C1" s="1" t="s">
        <v>368</v>
      </c>
      <c r="D1" s="1" t="s">
        <v>315</v>
      </c>
      <c r="E1" s="61" t="s">
        <v>342</v>
      </c>
      <c r="F1" s="61" t="s">
        <v>694</v>
      </c>
      <c r="G1" s="1" t="s">
        <v>903</v>
      </c>
      <c r="H1" s="75" t="s">
        <v>693</v>
      </c>
      <c r="I1" s="1" t="s">
        <v>339</v>
      </c>
      <c r="J1" s="1" t="s">
        <v>340</v>
      </c>
      <c r="K1" s="1" t="s">
        <v>19</v>
      </c>
      <c r="L1" s="1" t="s">
        <v>707</v>
      </c>
      <c r="M1" s="1" t="s">
        <v>689</v>
      </c>
      <c r="N1" s="1" t="s">
        <v>691</v>
      </c>
      <c r="O1" s="61" t="s">
        <v>21</v>
      </c>
      <c r="P1" s="61" t="s">
        <v>793</v>
      </c>
      <c r="Q1" s="3" t="s">
        <v>448</v>
      </c>
    </row>
    <row r="2" spans="1:86" x14ac:dyDescent="0.2">
      <c r="A2" s="18" t="s">
        <v>414</v>
      </c>
      <c r="B2" s="2" t="s">
        <v>900</v>
      </c>
      <c r="C2" s="2">
        <f>IF(E2&gt;=1,1,0)</f>
        <v>1</v>
      </c>
      <c r="D2" s="2"/>
      <c r="E2" s="11">
        <v>400</v>
      </c>
      <c r="F2" s="11"/>
      <c r="G2" s="2"/>
      <c r="H2" s="2"/>
      <c r="I2" s="2">
        <v>34.200000000000003</v>
      </c>
      <c r="J2" s="2">
        <v>32.9</v>
      </c>
      <c r="K2" s="2">
        <v>0.49</v>
      </c>
      <c r="L2" s="2"/>
      <c r="M2" s="2"/>
      <c r="N2" s="2"/>
      <c r="O2" s="5">
        <v>32.9</v>
      </c>
      <c r="Q2" s="84" t="s">
        <v>916</v>
      </c>
      <c r="R2" s="2"/>
      <c r="S2" s="2"/>
    </row>
    <row r="3" spans="1:86" x14ac:dyDescent="0.2">
      <c r="A3" s="6" t="s">
        <v>405</v>
      </c>
      <c r="B3" s="6" t="s">
        <v>493</v>
      </c>
      <c r="C3" s="2">
        <f>IF(E3&gt;=1,1,0)</f>
        <v>1</v>
      </c>
      <c r="D3" s="6">
        <v>58.951720999999999</v>
      </c>
      <c r="E3" s="5">
        <v>58.601402</v>
      </c>
      <c r="F3" s="5">
        <f>G3*(11.35*0.5+(D3-11.35))</f>
        <v>52.960125533279033</v>
      </c>
      <c r="G3" s="6">
        <f>E3/D3</f>
        <v>0.99405752717550011</v>
      </c>
      <c r="H3" s="6">
        <f>F3/(D3-(E3-F3))</f>
        <v>0.99342869857741833</v>
      </c>
      <c r="I3" s="6">
        <v>13.4</v>
      </c>
      <c r="J3" s="6">
        <v>13.4</v>
      </c>
      <c r="K3" s="6">
        <v>0.43</v>
      </c>
      <c r="L3" s="6">
        <f>D3</f>
        <v>58.951720999999999</v>
      </c>
      <c r="M3" s="6">
        <v>8.4269999999999996</v>
      </c>
      <c r="N3" s="6"/>
      <c r="O3" s="5">
        <f>I3</f>
        <v>13.4</v>
      </c>
      <c r="P3" s="5">
        <f t="shared" ref="P3:P9" si="0">F3/E3</f>
        <v>0.90373478664007101</v>
      </c>
      <c r="Q3" s="2" t="s">
        <v>902</v>
      </c>
      <c r="R3" s="6"/>
      <c r="S3" s="6"/>
    </row>
    <row r="4" spans="1:86" s="5" customFormat="1" x14ac:dyDescent="0.2">
      <c r="A4" s="13" t="s">
        <v>356</v>
      </c>
      <c r="B4" s="14" t="s">
        <v>493</v>
      </c>
      <c r="C4" s="14">
        <v>1</v>
      </c>
      <c r="D4" s="14">
        <v>37.692999999999998</v>
      </c>
      <c r="E4" s="5">
        <v>35.718000000000004</v>
      </c>
      <c r="F4" s="19">
        <f>0.5*E4</f>
        <v>17.859000000000002</v>
      </c>
      <c r="G4" s="6">
        <f>E4/D4</f>
        <v>0.94760300321014523</v>
      </c>
      <c r="H4" s="6">
        <f>F4/(D4-(E4-F4))</f>
        <v>0.90042351517596075</v>
      </c>
      <c r="I4" s="14">
        <v>14</v>
      </c>
      <c r="J4" s="14">
        <v>14</v>
      </c>
      <c r="K4" s="14">
        <v>0.5</v>
      </c>
      <c r="L4" s="14">
        <v>36.247999999999998</v>
      </c>
      <c r="M4" s="6">
        <v>10.058</v>
      </c>
      <c r="N4" s="6">
        <f>M4*H4</f>
        <v>9.0564597156398126</v>
      </c>
      <c r="O4" s="17">
        <f>J4*H4</f>
        <v>12.605929212463451</v>
      </c>
      <c r="P4" s="5">
        <f t="shared" si="0"/>
        <v>0.5</v>
      </c>
      <c r="Q4" s="2" t="s">
        <v>904</v>
      </c>
      <c r="R4" s="14"/>
      <c r="S4" s="14"/>
      <c r="T4" s="16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</row>
    <row r="5" spans="1:86" s="6" customFormat="1" x14ac:dyDescent="0.2">
      <c r="A5" s="18" t="s">
        <v>423</v>
      </c>
      <c r="B5" s="2" t="s">
        <v>901</v>
      </c>
      <c r="C5" s="2">
        <f t="shared" ref="C5:C17" si="1">IF(E5&gt;=1,1,0)</f>
        <v>1</v>
      </c>
      <c r="D5" s="2">
        <v>2474.643</v>
      </c>
      <c r="E5" s="11">
        <v>4.4169999999999998</v>
      </c>
      <c r="F5" s="11">
        <f>0.5*E5</f>
        <v>2.2084999999999999</v>
      </c>
      <c r="G5" s="2">
        <f>E5/D5</f>
        <v>1.7849039235154323E-3</v>
      </c>
      <c r="H5" s="2">
        <f>F5/(D5-(E5-F5))</f>
        <v>8.932491437083571E-4</v>
      </c>
      <c r="I5" s="2">
        <v>1778</v>
      </c>
      <c r="J5" s="2">
        <f>I5-12</f>
        <v>1766</v>
      </c>
      <c r="K5" s="2">
        <v>0.53</v>
      </c>
      <c r="L5" s="2">
        <v>2507.12</v>
      </c>
      <c r="M5" s="2">
        <v>1251.7360000000001</v>
      </c>
      <c r="N5" s="6">
        <f>M5*H5</f>
        <v>1.1181121101489242</v>
      </c>
      <c r="O5" s="17">
        <f>J5*H5</f>
        <v>1.5774779877889586</v>
      </c>
      <c r="P5" s="5">
        <f t="shared" si="0"/>
        <v>0.5</v>
      </c>
      <c r="Q5" s="2" t="s">
        <v>912</v>
      </c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</row>
    <row r="6" spans="1:86" s="6" customFormat="1" x14ac:dyDescent="0.2">
      <c r="A6" s="4" t="s">
        <v>437</v>
      </c>
      <c r="B6" s="6" t="s">
        <v>900</v>
      </c>
      <c r="C6" s="2">
        <f t="shared" si="1"/>
        <v>1</v>
      </c>
      <c r="D6" s="6">
        <v>1362.1210000000001</v>
      </c>
      <c r="E6" s="11">
        <v>3.2572999999999999</v>
      </c>
      <c r="F6" s="11">
        <f>E6</f>
        <v>3.2572999999999999</v>
      </c>
      <c r="G6" s="6">
        <f>E6/D6</f>
        <v>2.3913440876397909E-3</v>
      </c>
      <c r="H6" s="6">
        <f>F6/(D6-(E6-F6))</f>
        <v>2.3913440876397909E-3</v>
      </c>
      <c r="I6" s="6">
        <v>1219</v>
      </c>
      <c r="J6" s="6">
        <v>1211</v>
      </c>
      <c r="K6" s="6">
        <f>800/I6</f>
        <v>0.65627563576702219</v>
      </c>
      <c r="L6" s="6">
        <v>1323</v>
      </c>
      <c r="M6" s="6">
        <v>893</v>
      </c>
      <c r="N6" s="6">
        <f>M6*H6</f>
        <v>2.1354702702623332</v>
      </c>
      <c r="O6" s="17">
        <f>J6*H6</f>
        <v>2.8959176901317867</v>
      </c>
      <c r="P6" s="5">
        <f t="shared" si="0"/>
        <v>1</v>
      </c>
      <c r="Q6" s="2" t="s">
        <v>915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</row>
    <row r="7" spans="1:86" s="6" customFormat="1" x14ac:dyDescent="0.2">
      <c r="A7" s="2" t="s">
        <v>908</v>
      </c>
      <c r="B7" s="2" t="s">
        <v>493</v>
      </c>
      <c r="C7" s="2">
        <f t="shared" si="1"/>
        <v>1</v>
      </c>
      <c r="D7" s="2"/>
      <c r="E7" s="5">
        <v>2</v>
      </c>
      <c r="F7" s="5">
        <f>2</f>
        <v>2</v>
      </c>
      <c r="G7" s="2"/>
      <c r="H7" s="2"/>
      <c r="I7" s="2"/>
      <c r="J7" s="2"/>
      <c r="K7" s="2"/>
      <c r="L7" s="2"/>
      <c r="M7" s="2"/>
      <c r="N7" s="2"/>
      <c r="O7" s="17">
        <f>J7*H7</f>
        <v>0</v>
      </c>
      <c r="P7" s="5">
        <f t="shared" si="0"/>
        <v>1</v>
      </c>
      <c r="Q7" s="2" t="s">
        <v>905</v>
      </c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</row>
    <row r="8" spans="1:86" s="6" customFormat="1" x14ac:dyDescent="0.2">
      <c r="A8" s="2" t="s">
        <v>911</v>
      </c>
      <c r="B8" s="2" t="s">
        <v>493</v>
      </c>
      <c r="C8" s="2">
        <f t="shared" si="1"/>
        <v>1</v>
      </c>
      <c r="D8" s="2"/>
      <c r="E8" s="5">
        <v>1.2561180000000001</v>
      </c>
      <c r="F8" s="5">
        <f t="shared" ref="F8:F17" si="2">E8</f>
        <v>1.2561180000000001</v>
      </c>
      <c r="G8" s="2"/>
      <c r="H8" s="2"/>
      <c r="I8" s="2"/>
      <c r="J8" s="2"/>
      <c r="K8" s="2"/>
      <c r="L8" s="2"/>
      <c r="M8" s="2"/>
      <c r="N8" s="2"/>
      <c r="O8" s="17">
        <f>J8*H8</f>
        <v>0</v>
      </c>
      <c r="P8" s="5">
        <f t="shared" si="0"/>
        <v>1</v>
      </c>
      <c r="Q8" s="2" t="s">
        <v>913</v>
      </c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</row>
    <row r="9" spans="1:86" s="10" customFormat="1" ht="15" x14ac:dyDescent="0.25">
      <c r="A9" s="10" t="s">
        <v>917</v>
      </c>
      <c r="E9" s="87">
        <f>SUM(E2:E8)</f>
        <v>505.24982</v>
      </c>
      <c r="F9" s="87">
        <f>SUM(F2:F8)</f>
        <v>79.541043533279037</v>
      </c>
      <c r="G9" s="98"/>
      <c r="H9" s="98"/>
      <c r="I9" s="98"/>
      <c r="J9" s="98">
        <f t="shared" ref="J9" si="3">SUM(J2:J8)</f>
        <v>3037.3</v>
      </c>
      <c r="O9" s="87">
        <f>SUM(O2:O8)</f>
        <v>63.379324890384197</v>
      </c>
      <c r="P9" s="80">
        <f t="shared" si="0"/>
        <v>0.1574291377942085</v>
      </c>
      <c r="Q9" s="44"/>
      <c r="T9" s="44"/>
      <c r="U9" s="44"/>
      <c r="V9" s="44"/>
      <c r="W9" s="44"/>
      <c r="X9" s="44"/>
      <c r="Y9" s="44"/>
      <c r="Z9" s="44"/>
      <c r="AA9" s="44"/>
      <c r="AB9" s="44"/>
      <c r="AC9" s="44"/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</row>
    <row r="10" spans="1:86" s="6" customFormat="1" x14ac:dyDescent="0.2">
      <c r="A10" s="2"/>
      <c r="B10" s="2"/>
      <c r="C10" s="2"/>
      <c r="D10" s="2"/>
      <c r="E10" s="5"/>
      <c r="F10" s="5"/>
      <c r="G10" s="2"/>
      <c r="H10" s="2"/>
      <c r="I10" s="2"/>
      <c r="J10" s="2"/>
      <c r="K10" s="2"/>
      <c r="L10" s="2"/>
      <c r="M10" s="2"/>
      <c r="N10" s="2"/>
      <c r="O10" s="5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</row>
    <row r="11" spans="1:86" s="47" customFormat="1" x14ac:dyDescent="0.2">
      <c r="A11" s="6" t="s">
        <v>504</v>
      </c>
      <c r="B11" s="6" t="s">
        <v>493</v>
      </c>
      <c r="C11" s="2">
        <f t="shared" si="1"/>
        <v>0</v>
      </c>
      <c r="D11" s="6"/>
      <c r="E11" s="5">
        <v>0.88709899999999997</v>
      </c>
      <c r="F11" s="5">
        <f t="shared" si="2"/>
        <v>0.88709899999999997</v>
      </c>
      <c r="G11" s="6"/>
      <c r="H11" s="6"/>
      <c r="I11" s="6"/>
      <c r="J11" s="6"/>
      <c r="K11" s="6"/>
      <c r="L11" s="6"/>
      <c r="M11" s="6"/>
      <c r="N11" s="6"/>
      <c r="O11" s="82"/>
      <c r="P11" s="5"/>
      <c r="Q11" s="2" t="s">
        <v>915</v>
      </c>
      <c r="R11" s="6"/>
      <c r="S11" s="6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</row>
    <row r="12" spans="1:86" s="2" customFormat="1" x14ac:dyDescent="0.2">
      <c r="A12" s="6" t="s">
        <v>907</v>
      </c>
      <c r="B12" s="6" t="s">
        <v>493</v>
      </c>
      <c r="C12" s="2">
        <f t="shared" si="1"/>
        <v>0</v>
      </c>
      <c r="D12" s="6"/>
      <c r="E12" s="5">
        <v>0.80859999999999999</v>
      </c>
      <c r="F12" s="5">
        <f t="shared" si="2"/>
        <v>0.80859999999999999</v>
      </c>
      <c r="G12" s="6"/>
      <c r="H12" s="6"/>
      <c r="I12" s="6"/>
      <c r="J12" s="6"/>
      <c r="K12" s="6"/>
      <c r="L12" s="6"/>
      <c r="M12" s="6"/>
      <c r="N12" s="6"/>
      <c r="O12" s="5"/>
      <c r="P12" s="5"/>
      <c r="Q12" s="84">
        <v>7321</v>
      </c>
      <c r="R12" s="6"/>
      <c r="S12" s="6"/>
    </row>
    <row r="13" spans="1:86" s="2" customFormat="1" x14ac:dyDescent="0.2">
      <c r="A13" s="2" t="s">
        <v>909</v>
      </c>
      <c r="B13" s="2" t="s">
        <v>493</v>
      </c>
      <c r="C13" s="2">
        <f t="shared" si="1"/>
        <v>0</v>
      </c>
      <c r="E13" s="5">
        <v>0.41499999999999998</v>
      </c>
      <c r="F13" s="5">
        <f t="shared" si="2"/>
        <v>0.41499999999999998</v>
      </c>
      <c r="O13" s="77"/>
      <c r="P13" s="5"/>
      <c r="Q13" s="84">
        <v>7321</v>
      </c>
    </row>
    <row r="14" spans="1:86" s="2" customFormat="1" x14ac:dyDescent="0.2">
      <c r="A14" s="58" t="s">
        <v>906</v>
      </c>
      <c r="B14" s="6" t="s">
        <v>493</v>
      </c>
      <c r="C14" s="2">
        <f t="shared" si="1"/>
        <v>0</v>
      </c>
      <c r="D14" s="6"/>
      <c r="E14" s="5">
        <v>0.36499999999999999</v>
      </c>
      <c r="F14" s="5">
        <f t="shared" si="2"/>
        <v>0.36499999999999999</v>
      </c>
      <c r="G14" s="6"/>
      <c r="H14" s="6"/>
      <c r="I14" s="6"/>
      <c r="J14" s="6"/>
      <c r="K14" s="6"/>
      <c r="L14" s="6"/>
      <c r="M14" s="6"/>
      <c r="N14" s="6"/>
      <c r="O14" s="5"/>
      <c r="P14" s="5"/>
      <c r="Q14" s="84">
        <v>7321</v>
      </c>
      <c r="R14" s="6"/>
      <c r="S14" s="6"/>
    </row>
    <row r="15" spans="1:86" s="2" customFormat="1" x14ac:dyDescent="0.2">
      <c r="A15" s="6" t="s">
        <v>508</v>
      </c>
      <c r="B15" s="6" t="s">
        <v>493</v>
      </c>
      <c r="C15" s="2">
        <f t="shared" si="1"/>
        <v>0</v>
      </c>
      <c r="D15" s="6"/>
      <c r="E15" s="5">
        <v>0.28399999999999997</v>
      </c>
      <c r="F15" s="5">
        <f t="shared" si="2"/>
        <v>0.28399999999999997</v>
      </c>
      <c r="G15" s="6"/>
      <c r="H15" s="6"/>
      <c r="I15" s="6"/>
      <c r="J15" s="6"/>
      <c r="K15" s="6"/>
      <c r="L15" s="6"/>
      <c r="M15" s="6"/>
      <c r="N15" s="6"/>
      <c r="O15" s="83"/>
      <c r="P15" s="5"/>
      <c r="Q15" s="2" t="s">
        <v>915</v>
      </c>
      <c r="R15" s="6"/>
      <c r="S15" s="6"/>
    </row>
    <row r="16" spans="1:86" s="2" customFormat="1" x14ac:dyDescent="0.2">
      <c r="A16" s="2" t="s">
        <v>910</v>
      </c>
      <c r="B16" s="2" t="s">
        <v>493</v>
      </c>
      <c r="C16" s="2">
        <f t="shared" si="1"/>
        <v>0</v>
      </c>
      <c r="E16" s="5">
        <v>0.26815899999999998</v>
      </c>
      <c r="F16" s="5">
        <f t="shared" si="2"/>
        <v>0.26815899999999998</v>
      </c>
      <c r="O16" s="77"/>
      <c r="P16" s="5"/>
      <c r="Q16" s="84">
        <v>7321</v>
      </c>
    </row>
    <row r="17" spans="1:86" s="2" customFormat="1" x14ac:dyDescent="0.2">
      <c r="A17" s="6" t="s">
        <v>482</v>
      </c>
      <c r="B17" s="6" t="s">
        <v>493</v>
      </c>
      <c r="C17" s="2">
        <f t="shared" si="1"/>
        <v>0</v>
      </c>
      <c r="D17" s="6"/>
      <c r="E17" s="5">
        <v>0.26326300000000002</v>
      </c>
      <c r="F17" s="5">
        <f t="shared" si="2"/>
        <v>0.26326300000000002</v>
      </c>
      <c r="G17" s="6"/>
      <c r="H17" s="6"/>
      <c r="I17" s="6"/>
      <c r="J17" s="6"/>
      <c r="K17" s="6"/>
      <c r="L17" s="6"/>
      <c r="M17" s="6"/>
      <c r="N17" s="6"/>
      <c r="O17" s="5"/>
      <c r="P17" s="5"/>
      <c r="Q17" s="6" t="s">
        <v>914</v>
      </c>
      <c r="R17" s="6"/>
      <c r="S17" s="6"/>
    </row>
    <row r="18" spans="1:86" s="10" customFormat="1" ht="15" x14ac:dyDescent="0.25">
      <c r="A18" s="10" t="s">
        <v>917</v>
      </c>
      <c r="E18" s="87">
        <f>SUM(E11:E17)</f>
        <v>3.2911209999999995</v>
      </c>
      <c r="F18" s="87">
        <f>SUM(F11:F17)</f>
        <v>3.2911209999999995</v>
      </c>
      <c r="O18" s="87">
        <f>SUM(O11:O17)</f>
        <v>0</v>
      </c>
      <c r="P18" s="80">
        <f>F18/E18</f>
        <v>1</v>
      </c>
      <c r="Q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</row>
    <row r="19" spans="1:86" x14ac:dyDescent="0.2">
      <c r="C19" s="2"/>
      <c r="D19" s="2"/>
      <c r="E19" s="2"/>
      <c r="F19" s="2"/>
      <c r="G19" s="2"/>
      <c r="H19" s="2"/>
      <c r="I19" s="2"/>
      <c r="J19" s="2"/>
      <c r="Q19" s="2"/>
    </row>
  </sheetData>
  <sortState ref="A2:AB20">
    <sortCondition descending="1" ref="C2:C20"/>
    <sortCondition ref="A2:A20"/>
  </sortState>
  <pageMargins left="0.7" right="0.7" top="0.75" bottom="0.75" header="0.3" footer="0.3"/>
  <pageSetup paperSize="9" orientation="portrait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workbookViewId="0">
      <selection activeCell="F23" sqref="F23"/>
    </sheetView>
  </sheetViews>
  <sheetFormatPr defaultRowHeight="14.25" x14ac:dyDescent="0.2"/>
  <cols>
    <col min="1" max="1" width="42.875" customWidth="1"/>
  </cols>
  <sheetData>
    <row r="1" spans="1:3" s="6" customFormat="1" ht="15" x14ac:dyDescent="0.25">
      <c r="A1" s="10" t="s">
        <v>1032</v>
      </c>
    </row>
    <row r="2" spans="1:3" s="6" customFormat="1" x14ac:dyDescent="0.2"/>
    <row r="3" spans="1:3" ht="15" x14ac:dyDescent="0.25">
      <c r="A3" s="10" t="s">
        <v>796</v>
      </c>
    </row>
    <row r="4" spans="1:3" x14ac:dyDescent="0.2">
      <c r="A4" t="s">
        <v>797</v>
      </c>
      <c r="B4">
        <v>50.8</v>
      </c>
    </row>
    <row r="5" spans="1:3" x14ac:dyDescent="0.2">
      <c r="A5" t="s">
        <v>798</v>
      </c>
      <c r="B5">
        <v>43.9</v>
      </c>
    </row>
    <row r="6" spans="1:3" x14ac:dyDescent="0.2">
      <c r="A6" t="s">
        <v>799</v>
      </c>
      <c r="B6">
        <f>B5/B4</f>
        <v>0.86417322834645671</v>
      </c>
    </row>
    <row r="7" spans="1:3" x14ac:dyDescent="0.2">
      <c r="A7" t="s">
        <v>800</v>
      </c>
      <c r="B7">
        <v>102</v>
      </c>
    </row>
    <row r="8" spans="1:3" x14ac:dyDescent="0.2">
      <c r="A8" t="s">
        <v>801</v>
      </c>
      <c r="B8">
        <f>B7*B6</f>
        <v>88.145669291338578</v>
      </c>
    </row>
    <row r="9" spans="1:3" x14ac:dyDescent="0.2">
      <c r="A9" t="s">
        <v>804</v>
      </c>
      <c r="B9">
        <f>B8*0.3</f>
        <v>26.443700787401571</v>
      </c>
      <c r="C9" t="s">
        <v>802</v>
      </c>
    </row>
    <row r="11" spans="1:3" x14ac:dyDescent="0.2">
      <c r="A11" t="s">
        <v>803</v>
      </c>
      <c r="B11">
        <f>0.08*B5</f>
        <v>3.512</v>
      </c>
    </row>
    <row r="13" spans="1:3" x14ac:dyDescent="0.2">
      <c r="A13" t="s">
        <v>805</v>
      </c>
      <c r="B13">
        <f>665/1165</f>
        <v>0.57081545064377681</v>
      </c>
    </row>
    <row r="14" spans="1:3" x14ac:dyDescent="0.2">
      <c r="A14" t="s">
        <v>806</v>
      </c>
      <c r="B14">
        <f>B13*B9</f>
        <v>15.094472981649824</v>
      </c>
    </row>
    <row r="16" spans="1:3" x14ac:dyDescent="0.2">
      <c r="A16" t="s">
        <v>807</v>
      </c>
      <c r="B16">
        <f>B14+B11</f>
        <v>18.606472981649823</v>
      </c>
    </row>
    <row r="19" spans="1:2" ht="15" x14ac:dyDescent="0.25">
      <c r="A19" s="10" t="s">
        <v>358</v>
      </c>
    </row>
    <row r="20" spans="1:2" x14ac:dyDescent="0.2">
      <c r="A20" t="s">
        <v>674</v>
      </c>
      <c r="B20" s="8">
        <v>22.429103000000001</v>
      </c>
    </row>
    <row r="21" spans="1:2" x14ac:dyDescent="0.2">
      <c r="A21" t="s">
        <v>834</v>
      </c>
      <c r="B21">
        <v>41.2</v>
      </c>
    </row>
    <row r="22" spans="1:2" x14ac:dyDescent="0.2">
      <c r="A22" t="s">
        <v>835</v>
      </c>
      <c r="B22">
        <v>0.5</v>
      </c>
    </row>
    <row r="23" spans="1:2" s="6" customFormat="1" x14ac:dyDescent="0.2">
      <c r="A23" s="6" t="s">
        <v>839</v>
      </c>
      <c r="B23" s="6">
        <f>B20*B22</f>
        <v>11.214551500000001</v>
      </c>
    </row>
    <row r="24" spans="1:2" s="6" customFormat="1" x14ac:dyDescent="0.2"/>
    <row r="25" spans="1:2" x14ac:dyDescent="0.2">
      <c r="A25" t="s">
        <v>836</v>
      </c>
      <c r="B25">
        <v>15</v>
      </c>
    </row>
    <row r="26" spans="1:2" x14ac:dyDescent="0.2">
      <c r="A26" t="s">
        <v>837</v>
      </c>
      <c r="B26">
        <f>B25*B20/B21</f>
        <v>8.1659355582524267</v>
      </c>
    </row>
    <row r="27" spans="1:2" x14ac:dyDescent="0.2">
      <c r="A27" t="s">
        <v>838</v>
      </c>
      <c r="B27">
        <f>B26*B22</f>
        <v>4.0829677791262133</v>
      </c>
    </row>
    <row r="29" spans="1:2" ht="15" x14ac:dyDescent="0.25">
      <c r="A29" s="10" t="s">
        <v>848</v>
      </c>
    </row>
    <row r="30" spans="1:2" x14ac:dyDescent="0.2">
      <c r="A30" t="s">
        <v>789</v>
      </c>
      <c r="B30">
        <v>27.452999999999999</v>
      </c>
    </row>
    <row r="31" spans="1:2" x14ac:dyDescent="0.2">
      <c r="A31" t="s">
        <v>854</v>
      </c>
      <c r="B31">
        <v>7.7430000000000003</v>
      </c>
    </row>
    <row r="32" spans="1:2" x14ac:dyDescent="0.2">
      <c r="A32" t="s">
        <v>850</v>
      </c>
      <c r="B32">
        <v>3.4620000000000002</v>
      </c>
    </row>
    <row r="33" spans="1:4" x14ac:dyDescent="0.2">
      <c r="A33" t="s">
        <v>849</v>
      </c>
      <c r="B33">
        <f>SUM(B30:B32)</f>
        <v>38.658000000000001</v>
      </c>
    </row>
    <row r="34" spans="1:4" s="6" customFormat="1" x14ac:dyDescent="0.2">
      <c r="A34" s="6" t="s">
        <v>852</v>
      </c>
      <c r="B34" s="6">
        <v>2.5962040000000002</v>
      </c>
    </row>
    <row r="35" spans="1:4" s="6" customFormat="1" x14ac:dyDescent="0.2"/>
    <row r="36" spans="1:4" s="6" customFormat="1" x14ac:dyDescent="0.2">
      <c r="A36" s="6" t="s">
        <v>1033</v>
      </c>
      <c r="B36" s="6">
        <f>B32+B34</f>
        <v>6.0582039999999999</v>
      </c>
    </row>
    <row r="38" spans="1:4" x14ac:dyDescent="0.2">
      <c r="A38" t="s">
        <v>851</v>
      </c>
      <c r="B38">
        <v>2.5</v>
      </c>
    </row>
    <row r="39" spans="1:4" x14ac:dyDescent="0.2">
      <c r="A39" t="s">
        <v>853</v>
      </c>
    </row>
    <row r="41" spans="1:4" ht="15" x14ac:dyDescent="0.25">
      <c r="A41" s="10" t="s">
        <v>856</v>
      </c>
      <c r="C41" t="s">
        <v>799</v>
      </c>
      <c r="D41" t="s">
        <v>751</v>
      </c>
    </row>
    <row r="42" spans="1:4" x14ac:dyDescent="0.2">
      <c r="A42" t="s">
        <v>857</v>
      </c>
      <c r="B42">
        <v>41.74</v>
      </c>
      <c r="C42">
        <v>0</v>
      </c>
      <c r="D42">
        <f>B42*C42</f>
        <v>0</v>
      </c>
    </row>
    <row r="43" spans="1:4" x14ac:dyDescent="0.2">
      <c r="A43" t="s">
        <v>858</v>
      </c>
      <c r="B43">
        <v>1.86</v>
      </c>
      <c r="C43">
        <v>1</v>
      </c>
      <c r="D43" s="6">
        <f t="shared" ref="D43:D47" si="0">B43*C43</f>
        <v>1.86</v>
      </c>
    </row>
    <row r="44" spans="1:4" x14ac:dyDescent="0.2">
      <c r="A44" t="s">
        <v>859</v>
      </c>
      <c r="B44">
        <v>63.01</v>
      </c>
      <c r="C44">
        <v>0</v>
      </c>
      <c r="D44" s="6">
        <f t="shared" si="0"/>
        <v>0</v>
      </c>
    </row>
    <row r="45" spans="1:4" x14ac:dyDescent="0.2">
      <c r="A45" t="s">
        <v>858</v>
      </c>
      <c r="B45">
        <v>6.47</v>
      </c>
      <c r="C45">
        <v>0</v>
      </c>
      <c r="D45" s="6">
        <f t="shared" si="0"/>
        <v>0</v>
      </c>
    </row>
    <row r="46" spans="1:4" x14ac:dyDescent="0.2">
      <c r="A46" t="s">
        <v>860</v>
      </c>
      <c r="B46">
        <v>53.13</v>
      </c>
      <c r="C46">
        <v>1</v>
      </c>
      <c r="D46" s="6">
        <f t="shared" si="0"/>
        <v>53.13</v>
      </c>
    </row>
    <row r="47" spans="1:4" x14ac:dyDescent="0.2">
      <c r="A47" t="s">
        <v>861</v>
      </c>
      <c r="B47">
        <v>9.1199999999999992</v>
      </c>
      <c r="C47">
        <v>0</v>
      </c>
      <c r="D47" s="6">
        <f t="shared" si="0"/>
        <v>0</v>
      </c>
    </row>
    <row r="48" spans="1:4" x14ac:dyDescent="0.2">
      <c r="A48" t="s">
        <v>700</v>
      </c>
      <c r="B48">
        <f>SUM(B42:B47)</f>
        <v>175.33</v>
      </c>
      <c r="D48">
        <f>SUM(D42:D47)</f>
        <v>54.99</v>
      </c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59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7" sqref="G17"/>
    </sheetView>
  </sheetViews>
  <sheetFormatPr defaultRowHeight="14.25" x14ac:dyDescent="0.2"/>
  <cols>
    <col min="1" max="1" width="38" style="6" customWidth="1"/>
    <col min="2" max="2" width="9" style="6"/>
    <col min="3" max="3" width="10.5" style="2" customWidth="1"/>
    <col min="4" max="4" width="11.25" style="2" customWidth="1"/>
    <col min="5" max="5" width="11.625" style="6" bestFit="1" customWidth="1"/>
    <col min="6" max="15" width="9" style="6"/>
    <col min="16" max="16" width="11.625" style="6" bestFit="1" customWidth="1"/>
    <col min="17" max="18" width="11.625" style="2" customWidth="1"/>
    <col min="19" max="19" width="9" style="2"/>
    <col min="20" max="16384" width="9" style="6"/>
  </cols>
  <sheetData>
    <row r="1" spans="1:24" ht="85.5" x14ac:dyDescent="0.2">
      <c r="A1" s="1" t="s">
        <v>714</v>
      </c>
      <c r="B1" s="1" t="s">
        <v>315</v>
      </c>
      <c r="C1" s="61" t="s">
        <v>889</v>
      </c>
      <c r="D1" s="61" t="s">
        <v>694</v>
      </c>
      <c r="E1" s="1" t="s">
        <v>343</v>
      </c>
      <c r="F1" s="1" t="s">
        <v>339</v>
      </c>
      <c r="G1" s="1" t="s">
        <v>340</v>
      </c>
      <c r="H1" s="1" t="s">
        <v>19</v>
      </c>
      <c r="I1" s="1" t="s">
        <v>345</v>
      </c>
      <c r="J1" s="1" t="s">
        <v>346</v>
      </c>
      <c r="K1" s="1" t="s">
        <v>707</v>
      </c>
      <c r="L1" s="1" t="s">
        <v>689</v>
      </c>
      <c r="M1" s="1" t="s">
        <v>691</v>
      </c>
      <c r="N1" s="1" t="s">
        <v>892</v>
      </c>
      <c r="O1" s="1" t="s">
        <v>887</v>
      </c>
      <c r="P1" s="1" t="s">
        <v>688</v>
      </c>
      <c r="Q1" s="3" t="s">
        <v>21</v>
      </c>
      <c r="R1" s="3" t="s">
        <v>793</v>
      </c>
      <c r="S1" s="1" t="s">
        <v>690</v>
      </c>
      <c r="T1" s="3" t="s">
        <v>448</v>
      </c>
      <c r="U1" s="1"/>
      <c r="V1" s="1"/>
      <c r="W1" s="1"/>
      <c r="X1" s="1"/>
    </row>
    <row r="2" spans="1:24" x14ac:dyDescent="0.2">
      <c r="A2" s="13" t="s">
        <v>713</v>
      </c>
      <c r="B2" s="6">
        <v>1730.683</v>
      </c>
      <c r="C2" s="74">
        <f>102.008956+111.433</f>
        <v>213.441956</v>
      </c>
      <c r="D2" s="74">
        <f>C2*0.08</f>
        <v>17.07535648</v>
      </c>
      <c r="E2" s="6">
        <f>D2/(B2-(C2-D2))</f>
        <v>1.1128966929284008E-2</v>
      </c>
      <c r="G2" s="6">
        <v>924</v>
      </c>
      <c r="K2" s="6">
        <v>1883.8109999999999</v>
      </c>
      <c r="L2" s="6">
        <v>737.923</v>
      </c>
      <c r="M2" s="6">
        <f>L2*E2</f>
        <v>8.2123206633580423</v>
      </c>
      <c r="N2" s="6">
        <f>L2/K2</f>
        <v>0.3917181713027475</v>
      </c>
      <c r="O2" s="6">
        <f>L2/G2</f>
        <v>0.79861796536796537</v>
      </c>
      <c r="P2" s="6">
        <f>K2-L2</f>
        <v>1145.8879999999999</v>
      </c>
      <c r="Q2" s="5">
        <f>E2*G2</f>
        <v>10.283165442658424</v>
      </c>
      <c r="R2" s="85">
        <f t="shared" ref="R2:R33" si="0">D2/C2</f>
        <v>0.08</v>
      </c>
      <c r="S2" s="6"/>
      <c r="T2" s="6" t="s">
        <v>794</v>
      </c>
    </row>
    <row r="3" spans="1:24" x14ac:dyDescent="0.2">
      <c r="A3" s="13" t="s">
        <v>856</v>
      </c>
      <c r="B3" s="6">
        <v>210</v>
      </c>
      <c r="C3" s="5">
        <f>'GOV utrakningar'!B48</f>
        <v>175.33</v>
      </c>
      <c r="D3" s="5">
        <f>'GOV utrakningar'!D48</f>
        <v>54.99</v>
      </c>
      <c r="E3" s="6">
        <f>D3/(B3-(C3-D3))</f>
        <v>0.61331697523979478</v>
      </c>
      <c r="G3" s="6">
        <v>162</v>
      </c>
      <c r="K3" s="6">
        <v>210</v>
      </c>
      <c r="L3" s="6">
        <v>147.30000000000001</v>
      </c>
      <c r="M3" s="6">
        <f>L3*E3</f>
        <v>90.341590452821777</v>
      </c>
      <c r="N3" s="6">
        <f>L3/K3</f>
        <v>0.70142857142857151</v>
      </c>
      <c r="O3" s="6">
        <f>L3/G3</f>
        <v>0.90925925925925932</v>
      </c>
      <c r="Q3" s="5">
        <f>E3*G3</f>
        <v>99.35734998884675</v>
      </c>
      <c r="R3" s="85">
        <f t="shared" si="0"/>
        <v>0.31363714139052074</v>
      </c>
      <c r="S3" s="6"/>
      <c r="T3" s="6" t="s">
        <v>1003</v>
      </c>
    </row>
    <row r="4" spans="1:24" x14ac:dyDescent="0.2">
      <c r="A4" s="13" t="s">
        <v>809</v>
      </c>
      <c r="B4" s="14">
        <v>21811</v>
      </c>
      <c r="C4" s="5">
        <v>167</v>
      </c>
      <c r="D4" s="5">
        <f>C4*0.08</f>
        <v>13.36</v>
      </c>
      <c r="E4" s="6">
        <f>D4/(B4-(C4-D4))</f>
        <v>6.1688035845550886E-4</v>
      </c>
      <c r="F4" s="14"/>
      <c r="G4" s="14">
        <v>25550</v>
      </c>
      <c r="L4" s="6">
        <v>15712</v>
      </c>
      <c r="M4" s="6">
        <f>L4*E4</f>
        <v>9.6924241920529557</v>
      </c>
      <c r="O4" s="6">
        <f>L4/G4</f>
        <v>0.61495107632093937</v>
      </c>
      <c r="Q4" s="5">
        <f>E4*G4</f>
        <v>15.761293158538251</v>
      </c>
      <c r="R4" s="85">
        <f t="shared" si="0"/>
        <v>0.08</v>
      </c>
      <c r="S4" s="6"/>
      <c r="T4" s="6" t="s">
        <v>810</v>
      </c>
    </row>
    <row r="5" spans="1:24" x14ac:dyDescent="0.2">
      <c r="A5" s="13" t="s">
        <v>363</v>
      </c>
      <c r="B5" s="14">
        <v>1041.7090000000001</v>
      </c>
      <c r="C5" s="19">
        <v>43.878070999999998</v>
      </c>
      <c r="D5" s="19">
        <f>'GOV utrakningar'!B16</f>
        <v>18.606472981649823</v>
      </c>
      <c r="E5" s="6">
        <f>D5/(B5-(C5-D5))</f>
        <v>1.8305576856355914E-2</v>
      </c>
      <c r="F5" s="14"/>
      <c r="G5" s="14">
        <v>1165</v>
      </c>
      <c r="H5" s="14">
        <f>475/G5</f>
        <v>0.40772532188841204</v>
      </c>
      <c r="I5" s="14">
        <v>505.30599999999998</v>
      </c>
      <c r="J5" s="14">
        <v>160.114</v>
      </c>
      <c r="L5" s="6">
        <f>I5+J5</f>
        <v>665.42</v>
      </c>
      <c r="M5" s="6">
        <f>L5*E5</f>
        <v>12.180896951756351</v>
      </c>
      <c r="O5" s="6">
        <f>L5/G5</f>
        <v>0.57117596566523599</v>
      </c>
      <c r="Q5" s="17">
        <f>'GOV utrakningar'!B9</f>
        <v>26.443700787401571</v>
      </c>
      <c r="R5" s="85">
        <f t="shared" si="0"/>
        <v>0.42404947522988928</v>
      </c>
      <c r="S5" s="14"/>
      <c r="T5" s="2" t="s">
        <v>1004</v>
      </c>
      <c r="U5" s="14"/>
      <c r="V5" s="14"/>
      <c r="W5" s="14"/>
      <c r="X5" s="14"/>
    </row>
    <row r="6" spans="1:24" x14ac:dyDescent="0.2">
      <c r="A6" s="13" t="s">
        <v>847</v>
      </c>
      <c r="C6" s="5">
        <f>'GOV utrakningar'!B33</f>
        <v>38.658000000000001</v>
      </c>
      <c r="D6" s="5">
        <f>'GOV utrakningar'!B36</f>
        <v>6.0582039999999999</v>
      </c>
      <c r="Q6" s="77">
        <f>'GOV utrakningar'!B38</f>
        <v>2.5</v>
      </c>
      <c r="R6" s="85">
        <f t="shared" si="0"/>
        <v>0.15671281494127995</v>
      </c>
      <c r="S6" s="6"/>
      <c r="T6" s="6" t="s">
        <v>1005</v>
      </c>
    </row>
    <row r="7" spans="1:24" x14ac:dyDescent="0.2">
      <c r="A7" s="7" t="s">
        <v>897</v>
      </c>
      <c r="B7" s="6">
        <v>312.60000000000002</v>
      </c>
      <c r="C7" s="5">
        <v>38.527000000000001</v>
      </c>
      <c r="D7" s="5">
        <f>0.08*12.7+0.8*(C7-12.7)</f>
        <v>21.677600000000005</v>
      </c>
      <c r="E7" s="6">
        <f t="shared" ref="E7:E33" si="1">D7/(B7-(C7-D7))</f>
        <v>7.329689271974428E-2</v>
      </c>
      <c r="G7" s="6">
        <v>278</v>
      </c>
      <c r="K7" s="6">
        <v>312.60000000000002</v>
      </c>
      <c r="L7" s="6">
        <v>244.8</v>
      </c>
      <c r="M7" s="6">
        <f t="shared" ref="M7:M33" si="2">L7*E7</f>
        <v>17.943079337793399</v>
      </c>
      <c r="N7" s="6">
        <f>L7/K7</f>
        <v>0.78310940499040305</v>
      </c>
      <c r="O7" s="6">
        <f t="shared" ref="O7:O18" si="3">L7/G7</f>
        <v>0.88057553956834533</v>
      </c>
      <c r="Q7" s="5">
        <f>15.3-3</f>
        <v>12.3</v>
      </c>
      <c r="R7" s="85">
        <f t="shared" si="0"/>
        <v>0.56265995276040193</v>
      </c>
      <c r="T7" s="6" t="s">
        <v>898</v>
      </c>
    </row>
    <row r="8" spans="1:24" x14ac:dyDescent="0.2">
      <c r="A8" s="7" t="s">
        <v>373</v>
      </c>
      <c r="B8" s="6">
        <v>311.5</v>
      </c>
      <c r="C8" s="5">
        <f>34.741+0.531195</f>
        <v>35.272194999999996</v>
      </c>
      <c r="D8" s="5">
        <v>4</v>
      </c>
      <c r="E8" s="6">
        <f t="shared" si="1"/>
        <v>1.4274101030053032E-2</v>
      </c>
      <c r="G8" s="6">
        <v>246</v>
      </c>
      <c r="K8" s="6">
        <v>288.8</v>
      </c>
      <c r="L8" s="6">
        <v>196.5</v>
      </c>
      <c r="M8" s="6">
        <f t="shared" si="2"/>
        <v>2.8048608524054206</v>
      </c>
      <c r="N8" s="6">
        <f>L8/K8</f>
        <v>0.68040166204986152</v>
      </c>
      <c r="O8" s="6">
        <f t="shared" si="3"/>
        <v>0.79878048780487809</v>
      </c>
      <c r="Q8" s="76">
        <f>G8*E8</f>
        <v>3.511428853393046</v>
      </c>
      <c r="R8" s="85">
        <f t="shared" si="0"/>
        <v>0.11340377314198904</v>
      </c>
      <c r="S8" s="6"/>
      <c r="T8" s="6" t="s">
        <v>920</v>
      </c>
    </row>
    <row r="9" spans="1:24" x14ac:dyDescent="0.2">
      <c r="A9" s="13" t="s">
        <v>808</v>
      </c>
      <c r="B9" s="14">
        <v>218.73</v>
      </c>
      <c r="C9" s="5">
        <v>29.527218999999999</v>
      </c>
      <c r="D9" s="5">
        <f>6.96+0.08*(C9-6.96)</f>
        <v>8.7653775199999995</v>
      </c>
      <c r="E9" s="6">
        <f t="shared" si="1"/>
        <v>4.427670381706595E-2</v>
      </c>
      <c r="F9" s="14"/>
      <c r="G9" s="14">
        <v>216</v>
      </c>
      <c r="K9" s="6">
        <v>218.73</v>
      </c>
      <c r="L9" s="6">
        <v>165.93</v>
      </c>
      <c r="M9" s="6">
        <f t="shared" si="2"/>
        <v>7.3468334643657531</v>
      </c>
      <c r="N9" s="6">
        <f>L9/K9</f>
        <v>0.75860650116582096</v>
      </c>
      <c r="O9" s="6">
        <f t="shared" si="3"/>
        <v>0.76819444444444451</v>
      </c>
      <c r="Q9" s="5">
        <f>E9*G9</f>
        <v>9.5637680244862455</v>
      </c>
      <c r="R9" s="85">
        <f t="shared" si="0"/>
        <v>0.29685753744705856</v>
      </c>
      <c r="S9" s="6"/>
    </row>
    <row r="10" spans="1:24" x14ac:dyDescent="0.2">
      <c r="A10" s="7" t="s">
        <v>888</v>
      </c>
      <c r="B10" s="6">
        <v>7988</v>
      </c>
      <c r="C10" s="5">
        <v>22.899000000000001</v>
      </c>
      <c r="D10" s="5">
        <f>C10*0.08</f>
        <v>1.8319200000000002</v>
      </c>
      <c r="E10" s="6">
        <f t="shared" si="1"/>
        <v>2.2994043233390249E-4</v>
      </c>
      <c r="G10" s="6">
        <v>9050</v>
      </c>
      <c r="K10" s="6">
        <v>7988</v>
      </c>
      <c r="L10" s="6">
        <v>4744</v>
      </c>
      <c r="M10" s="6">
        <f t="shared" si="2"/>
        <v>1.0908374109920334</v>
      </c>
      <c r="N10" s="6">
        <f>L10/K10</f>
        <v>0.59389083625438155</v>
      </c>
      <c r="O10" s="6">
        <f t="shared" si="3"/>
        <v>0.52419889502762429</v>
      </c>
      <c r="Q10" s="76">
        <f>G10*E10</f>
        <v>2.0809609126218174</v>
      </c>
      <c r="R10" s="85">
        <f t="shared" si="0"/>
        <v>0.08</v>
      </c>
      <c r="S10" s="6"/>
      <c r="T10" s="6" t="s">
        <v>891</v>
      </c>
    </row>
    <row r="11" spans="1:24" x14ac:dyDescent="0.2">
      <c r="A11" s="13" t="s">
        <v>687</v>
      </c>
      <c r="B11" s="6">
        <v>445.33199999999999</v>
      </c>
      <c r="C11" s="5">
        <v>22.584</v>
      </c>
      <c r="D11" s="5">
        <f>C11</f>
        <v>22.584</v>
      </c>
      <c r="E11" s="6">
        <f t="shared" si="1"/>
        <v>5.071272668481043E-2</v>
      </c>
      <c r="G11" s="6">
        <v>211</v>
      </c>
      <c r="K11" s="6">
        <v>453.53100000000001</v>
      </c>
      <c r="L11" s="6">
        <v>155.58799999999999</v>
      </c>
      <c r="M11" s="6">
        <f t="shared" si="2"/>
        <v>7.8902917194362852</v>
      </c>
      <c r="N11" s="6">
        <f>L11/K11</f>
        <v>0.34305923961096374</v>
      </c>
      <c r="O11" s="6">
        <f t="shared" si="3"/>
        <v>0.7373838862559241</v>
      </c>
      <c r="P11" s="6">
        <f>K11-L11</f>
        <v>297.94299999999998</v>
      </c>
      <c r="Q11" s="5">
        <f>E11*G11</f>
        <v>10.700385330495001</v>
      </c>
      <c r="R11" s="85">
        <f t="shared" si="0"/>
        <v>1</v>
      </c>
      <c r="S11" s="6">
        <v>105.21</v>
      </c>
      <c r="T11" s="6" t="s">
        <v>999</v>
      </c>
    </row>
    <row r="12" spans="1:24" x14ac:dyDescent="0.2">
      <c r="A12" s="13" t="s">
        <v>358</v>
      </c>
      <c r="B12" s="14">
        <v>841.7</v>
      </c>
      <c r="C12" s="5">
        <v>22.429103000000001</v>
      </c>
      <c r="D12" s="5">
        <f>C12/2</f>
        <v>11.214551500000001</v>
      </c>
      <c r="E12" s="6">
        <f t="shared" si="1"/>
        <v>1.350360987089589E-2</v>
      </c>
      <c r="F12" s="14"/>
      <c r="G12" s="14">
        <v>1864</v>
      </c>
      <c r="H12" s="14"/>
      <c r="I12" s="14">
        <v>770.98400000000004</v>
      </c>
      <c r="J12" s="14">
        <v>340.90199999999999</v>
      </c>
      <c r="L12" s="6">
        <f>I12+J12</f>
        <v>1111.886</v>
      </c>
      <c r="M12" s="6">
        <f t="shared" si="2"/>
        <v>15.014474764910947</v>
      </c>
      <c r="O12" s="6">
        <f t="shared" si="3"/>
        <v>0.59650536480686689</v>
      </c>
      <c r="Q12" s="17">
        <f>'GOV utrakningar'!B27</f>
        <v>4.0829677791262133</v>
      </c>
      <c r="R12" s="85">
        <f t="shared" si="0"/>
        <v>0.5</v>
      </c>
      <c r="S12" s="14"/>
      <c r="T12" s="6" t="s">
        <v>1006</v>
      </c>
      <c r="U12" s="14"/>
      <c r="V12" s="14"/>
      <c r="W12" s="14"/>
      <c r="X12" s="14"/>
    </row>
    <row r="13" spans="1:24" x14ac:dyDescent="0.2">
      <c r="A13" s="13" t="s">
        <v>354</v>
      </c>
      <c r="B13" s="14">
        <v>160.51499999999999</v>
      </c>
      <c r="C13" s="5">
        <v>18.401717999999999</v>
      </c>
      <c r="D13" s="19">
        <f>0.5*C13</f>
        <v>9.2008589999999995</v>
      </c>
      <c r="E13" s="6">
        <f t="shared" si="1"/>
        <v>6.0806339309688186E-2</v>
      </c>
      <c r="F13" s="14"/>
      <c r="G13" s="14">
        <v>119</v>
      </c>
      <c r="H13" s="14"/>
      <c r="I13" s="14">
        <v>58.661999999999999</v>
      </c>
      <c r="J13" s="14">
        <f>92.4-58.662</f>
        <v>33.738000000000007</v>
      </c>
      <c r="L13" s="6">
        <f>I13+J13</f>
        <v>92.4</v>
      </c>
      <c r="M13" s="6">
        <f t="shared" si="2"/>
        <v>5.6185057522151887</v>
      </c>
      <c r="O13" s="6">
        <f t="shared" si="3"/>
        <v>0.77647058823529413</v>
      </c>
      <c r="Q13" s="5">
        <f>E13*G13</f>
        <v>7.2359543778528943</v>
      </c>
      <c r="R13" s="85">
        <f t="shared" si="0"/>
        <v>0.5</v>
      </c>
      <c r="S13" s="14"/>
      <c r="T13" s="6" t="s">
        <v>840</v>
      </c>
      <c r="U13" s="14"/>
      <c r="V13" s="14"/>
      <c r="W13" s="14"/>
      <c r="X13" s="14"/>
    </row>
    <row r="14" spans="1:24" x14ac:dyDescent="0.2">
      <c r="A14" s="7" t="s">
        <v>370</v>
      </c>
      <c r="B14" s="14">
        <v>1432</v>
      </c>
      <c r="C14" s="81">
        <v>16.955988000000001</v>
      </c>
      <c r="D14" s="19">
        <f>0.5*C14</f>
        <v>8.4779940000000007</v>
      </c>
      <c r="E14" s="6">
        <f t="shared" si="1"/>
        <v>5.9556466034709132E-3</v>
      </c>
      <c r="F14" s="14"/>
      <c r="G14" s="14">
        <v>490</v>
      </c>
      <c r="H14" s="6">
        <f>173/(173+335)</f>
        <v>0.34055118110236221</v>
      </c>
      <c r="K14" s="6">
        <v>1444</v>
      </c>
      <c r="L14" s="6">
        <v>308</v>
      </c>
      <c r="M14" s="6">
        <f t="shared" si="2"/>
        <v>1.8343391538690412</v>
      </c>
      <c r="N14" s="6">
        <f t="shared" ref="N14:N20" si="4">L14/K14</f>
        <v>0.21329639889196675</v>
      </c>
      <c r="O14" s="6">
        <f t="shared" si="3"/>
        <v>0.62857142857142856</v>
      </c>
      <c r="Q14" s="5">
        <f>E14*G14</f>
        <v>2.9182668357007473</v>
      </c>
      <c r="R14" s="85">
        <f t="shared" si="0"/>
        <v>0.5</v>
      </c>
      <c r="S14" s="6"/>
      <c r="T14" s="6" t="s">
        <v>840</v>
      </c>
    </row>
    <row r="15" spans="1:24" x14ac:dyDescent="0.2">
      <c r="A15" s="13" t="s">
        <v>841</v>
      </c>
      <c r="B15" s="14">
        <v>96.49</v>
      </c>
      <c r="C15" s="74">
        <v>14.749485999999999</v>
      </c>
      <c r="D15" s="5">
        <f>5*0.08+0.5*(C15-5)</f>
        <v>5.274743</v>
      </c>
      <c r="E15" s="6">
        <f t="shared" si="1"/>
        <v>6.0618599333677775E-2</v>
      </c>
      <c r="F15" s="14"/>
      <c r="G15" s="14">
        <v>87</v>
      </c>
      <c r="K15" s="6">
        <v>97.3</v>
      </c>
      <c r="L15" s="6">
        <v>71.8</v>
      </c>
      <c r="M15" s="6">
        <f t="shared" si="2"/>
        <v>4.3524154321580637</v>
      </c>
      <c r="N15" s="6">
        <f t="shared" si="4"/>
        <v>0.73792394655704008</v>
      </c>
      <c r="O15" s="6">
        <f t="shared" si="3"/>
        <v>0.82528735632183903</v>
      </c>
      <c r="Q15" s="5">
        <f>E15*G15</f>
        <v>5.2738181420299668</v>
      </c>
      <c r="R15" s="85">
        <f t="shared" si="0"/>
        <v>0.35762215713822165</v>
      </c>
      <c r="S15" s="6"/>
      <c r="T15" s="6" t="s">
        <v>842</v>
      </c>
    </row>
    <row r="16" spans="1:24" x14ac:dyDescent="0.2">
      <c r="A16" s="13" t="s">
        <v>843</v>
      </c>
      <c r="B16" s="14">
        <v>334.6</v>
      </c>
      <c r="C16" s="74">
        <v>14.636003000000001</v>
      </c>
      <c r="D16" s="5">
        <f>C16*0.08</f>
        <v>1.17088024</v>
      </c>
      <c r="E16" s="6">
        <f t="shared" si="1"/>
        <v>3.6460699942128774E-3</v>
      </c>
      <c r="G16" s="14">
        <v>247</v>
      </c>
      <c r="K16" s="6">
        <v>334.4</v>
      </c>
      <c r="L16" s="6">
        <v>169</v>
      </c>
      <c r="M16" s="6">
        <f t="shared" si="2"/>
        <v>0.61618582902197627</v>
      </c>
      <c r="N16" s="6">
        <f t="shared" si="4"/>
        <v>0.50538277511961727</v>
      </c>
      <c r="O16" s="6">
        <f t="shared" si="3"/>
        <v>0.68421052631578949</v>
      </c>
      <c r="Q16" s="5">
        <f>E16*G16</f>
        <v>0.90057928857058067</v>
      </c>
      <c r="R16" s="85">
        <f t="shared" si="0"/>
        <v>0.08</v>
      </c>
      <c r="S16" s="6"/>
      <c r="T16" s="6" t="s">
        <v>844</v>
      </c>
    </row>
    <row r="17" spans="1:24" x14ac:dyDescent="0.2">
      <c r="A17" s="13" t="s">
        <v>863</v>
      </c>
      <c r="B17" s="14">
        <v>396.5</v>
      </c>
      <c r="C17" s="5">
        <v>12.779</v>
      </c>
      <c r="D17" s="5">
        <v>3.113</v>
      </c>
      <c r="E17" s="6">
        <f t="shared" si="1"/>
        <v>8.0473794961146115E-3</v>
      </c>
      <c r="G17" s="58">
        <v>330</v>
      </c>
      <c r="K17" s="6">
        <v>397.9</v>
      </c>
      <c r="L17" s="6">
        <v>222.3</v>
      </c>
      <c r="M17" s="6">
        <f t="shared" si="2"/>
        <v>1.7889324619862783</v>
      </c>
      <c r="N17" s="6">
        <f t="shared" si="4"/>
        <v>0.55868308620256357</v>
      </c>
      <c r="O17" s="6">
        <f t="shared" si="3"/>
        <v>0.6736363636363637</v>
      </c>
      <c r="Q17" s="17">
        <f>G17*E17</f>
        <v>2.6556352337178217</v>
      </c>
      <c r="R17" s="85">
        <f t="shared" si="0"/>
        <v>0.24360278582048675</v>
      </c>
      <c r="S17" s="6"/>
      <c r="T17" s="6" t="s">
        <v>864</v>
      </c>
    </row>
    <row r="18" spans="1:24" x14ac:dyDescent="0.2">
      <c r="A18" s="13" t="s">
        <v>869</v>
      </c>
      <c r="B18" s="14">
        <v>416.9</v>
      </c>
      <c r="C18" s="5">
        <v>12.5</v>
      </c>
      <c r="D18" s="5">
        <f>C18*0.5</f>
        <v>6.25</v>
      </c>
      <c r="E18" s="6">
        <f t="shared" si="1"/>
        <v>1.5219773529769878E-2</v>
      </c>
      <c r="G18" s="58">
        <v>307</v>
      </c>
      <c r="K18" s="6">
        <v>416.2</v>
      </c>
      <c r="L18" s="6">
        <v>252.4</v>
      </c>
      <c r="M18" s="6">
        <f t="shared" si="2"/>
        <v>3.8414708389139172</v>
      </c>
      <c r="N18" s="6">
        <f t="shared" si="4"/>
        <v>0.60643921191734751</v>
      </c>
      <c r="O18" s="6">
        <f t="shared" si="3"/>
        <v>0.8221498371335505</v>
      </c>
      <c r="Q18" s="17">
        <f>G18*E18</f>
        <v>4.6724704736393523</v>
      </c>
      <c r="R18" s="85">
        <f t="shared" si="0"/>
        <v>0.5</v>
      </c>
      <c r="S18" s="6"/>
      <c r="T18" s="6" t="s">
        <v>870</v>
      </c>
    </row>
    <row r="19" spans="1:24" x14ac:dyDescent="0.2">
      <c r="A19" s="13" t="s">
        <v>845</v>
      </c>
      <c r="B19" s="14">
        <v>34.020000000000003</v>
      </c>
      <c r="C19" s="5">
        <v>12.03539</v>
      </c>
      <c r="D19" s="5">
        <f>C19</f>
        <v>12.03539</v>
      </c>
      <c r="E19" s="6">
        <f t="shared" si="1"/>
        <v>0.35377395649617865</v>
      </c>
      <c r="K19" s="6">
        <v>31.5</v>
      </c>
      <c r="L19" s="6">
        <v>3.8</v>
      </c>
      <c r="M19" s="6">
        <f t="shared" si="2"/>
        <v>1.3443410346854787</v>
      </c>
      <c r="N19" s="6">
        <f t="shared" si="4"/>
        <v>0.12063492063492062</v>
      </c>
      <c r="Q19" s="5">
        <f>M19/(210.424/312)</f>
        <v>1.9932821485280638</v>
      </c>
      <c r="R19" s="85">
        <f t="shared" si="0"/>
        <v>1</v>
      </c>
      <c r="S19" s="6"/>
      <c r="T19" s="6" t="s">
        <v>846</v>
      </c>
    </row>
    <row r="20" spans="1:24" x14ac:dyDescent="0.2">
      <c r="A20" s="13" t="s">
        <v>855</v>
      </c>
      <c r="B20" s="6">
        <v>1420</v>
      </c>
      <c r="C20" s="5">
        <v>10.596562</v>
      </c>
      <c r="D20" s="5">
        <f>C20*0.5</f>
        <v>5.2982810000000002</v>
      </c>
      <c r="E20" s="6">
        <f t="shared" si="1"/>
        <v>3.7451576744708831E-3</v>
      </c>
      <c r="G20" s="6">
        <v>1207.4000000000001</v>
      </c>
      <c r="K20" s="6">
        <v>1428</v>
      </c>
      <c r="L20" s="6">
        <v>839</v>
      </c>
      <c r="M20" s="6">
        <f t="shared" si="2"/>
        <v>3.1421872888810709</v>
      </c>
      <c r="N20" s="6">
        <f t="shared" si="4"/>
        <v>0.58753501400560226</v>
      </c>
      <c r="O20" s="6">
        <f t="shared" ref="O20:O33" si="5">L20/G20</f>
        <v>0.69488156369057474</v>
      </c>
      <c r="Q20" s="5">
        <f>E20*G20</f>
        <v>4.5219033761561445</v>
      </c>
      <c r="R20" s="85">
        <f t="shared" si="0"/>
        <v>0.5</v>
      </c>
      <c r="S20" s="6"/>
      <c r="T20" s="6" t="s">
        <v>840</v>
      </c>
    </row>
    <row r="21" spans="1:24" x14ac:dyDescent="0.2">
      <c r="A21" s="13" t="s">
        <v>332</v>
      </c>
      <c r="B21" s="14">
        <v>643.96100000000001</v>
      </c>
      <c r="C21" s="17">
        <v>10.072803</v>
      </c>
      <c r="D21" s="17">
        <f>2+0.5*(C21-2)</f>
        <v>6.0364015000000002</v>
      </c>
      <c r="E21" s="6">
        <f t="shared" si="1"/>
        <v>9.4329886898385888E-3</v>
      </c>
      <c r="F21" s="14"/>
      <c r="G21" s="14">
        <v>640</v>
      </c>
      <c r="H21" s="14">
        <v>0.61</v>
      </c>
      <c r="I21" s="14">
        <v>373.28800000000001</v>
      </c>
      <c r="J21" s="14">
        <v>254.81100000000001</v>
      </c>
      <c r="L21" s="6">
        <f>I21+J21</f>
        <v>628.09900000000005</v>
      </c>
      <c r="M21" s="6">
        <f t="shared" si="2"/>
        <v>5.9248507630989282</v>
      </c>
      <c r="O21" s="6">
        <f t="shared" si="5"/>
        <v>0.98140468750000009</v>
      </c>
      <c r="Q21" s="17">
        <f>G21*E21</f>
        <v>6.0371127614966973</v>
      </c>
      <c r="R21" s="85">
        <f t="shared" si="0"/>
        <v>0.59927723196810256</v>
      </c>
      <c r="S21" s="14"/>
      <c r="T21" s="6" t="s">
        <v>862</v>
      </c>
      <c r="U21" s="14"/>
      <c r="V21" s="14"/>
      <c r="W21" s="14"/>
      <c r="X21" s="14"/>
    </row>
    <row r="22" spans="1:24" x14ac:dyDescent="0.2">
      <c r="A22" s="4" t="s">
        <v>421</v>
      </c>
      <c r="B22" s="6">
        <v>8007.6469999999999</v>
      </c>
      <c r="C22" s="11">
        <v>8.5749999999999993</v>
      </c>
      <c r="D22" s="11">
        <f>C22-5.611014</f>
        <v>2.9639859999999993</v>
      </c>
      <c r="E22" s="6">
        <f t="shared" si="1"/>
        <v>3.704039828345755E-4</v>
      </c>
      <c r="G22" s="6">
        <v>10773</v>
      </c>
      <c r="H22" s="6">
        <v>0.34</v>
      </c>
      <c r="I22" s="6">
        <v>3846.5990000000002</v>
      </c>
      <c r="J22" s="6">
        <v>1.182199</v>
      </c>
      <c r="L22" s="6">
        <v>3847.781199</v>
      </c>
      <c r="M22" s="6">
        <f t="shared" si="2"/>
        <v>1.4252334811855982</v>
      </c>
      <c r="O22" s="6">
        <f t="shared" si="5"/>
        <v>0.35716895934280146</v>
      </c>
      <c r="Q22" s="5">
        <f>E22*G22</f>
        <v>3.9903621070768818</v>
      </c>
      <c r="R22" s="85">
        <f t="shared" si="0"/>
        <v>0.34565434402332357</v>
      </c>
      <c r="S22" s="6"/>
      <c r="T22" s="2" t="s">
        <v>795</v>
      </c>
    </row>
    <row r="23" spans="1:24" x14ac:dyDescent="0.2">
      <c r="A23" s="7" t="s">
        <v>381</v>
      </c>
      <c r="B23" s="6">
        <v>17100</v>
      </c>
      <c r="C23" s="5">
        <v>7.8330000000000002</v>
      </c>
      <c r="D23" s="5">
        <f>C23*0.08</f>
        <v>0.62663999999999997</v>
      </c>
      <c r="E23" s="6">
        <f t="shared" si="1"/>
        <v>3.6661063907865674E-5</v>
      </c>
      <c r="G23" s="6">
        <v>141</v>
      </c>
      <c r="K23" s="6">
        <v>14487</v>
      </c>
      <c r="L23" s="6">
        <v>154.6</v>
      </c>
      <c r="M23" s="6">
        <f t="shared" si="2"/>
        <v>5.6678004801560327E-3</v>
      </c>
      <c r="N23" s="6">
        <f t="shared" ref="N23:N33" si="6">L23/K23</f>
        <v>1.0671636639745978E-2</v>
      </c>
      <c r="O23" s="6">
        <f t="shared" si="5"/>
        <v>1.0964539007092198</v>
      </c>
      <c r="Q23" s="76">
        <f>G23*E23</f>
        <v>5.1692100110090596E-3</v>
      </c>
      <c r="R23" s="85">
        <f t="shared" si="0"/>
        <v>0.08</v>
      </c>
      <c r="S23" s="6"/>
      <c r="T23" s="6" t="s">
        <v>890</v>
      </c>
    </row>
    <row r="24" spans="1:24" x14ac:dyDescent="0.2">
      <c r="A24" s="13" t="s">
        <v>865</v>
      </c>
      <c r="B24" s="14">
        <v>8405</v>
      </c>
      <c r="C24" s="5">
        <v>7.1348529999999997</v>
      </c>
      <c r="D24" s="5">
        <f>4.16+0.08*(C24-4.16)</f>
        <v>4.3979882400000001</v>
      </c>
      <c r="E24" s="6">
        <f t="shared" si="1"/>
        <v>5.2342900587751913E-4</v>
      </c>
      <c r="G24" s="58">
        <v>11730</v>
      </c>
      <c r="K24" s="6">
        <v>8365</v>
      </c>
      <c r="L24" s="6">
        <v>6385</v>
      </c>
      <c r="M24" s="6">
        <f t="shared" si="2"/>
        <v>3.3420942025279596</v>
      </c>
      <c r="N24" s="6">
        <f t="shared" si="6"/>
        <v>0.76329946204423194</v>
      </c>
      <c r="O24" s="6">
        <f t="shared" si="5"/>
        <v>0.54433077578857625</v>
      </c>
      <c r="Q24" s="17">
        <f>G24*E24</f>
        <v>6.1398222389432995</v>
      </c>
      <c r="R24" s="85">
        <f t="shared" si="0"/>
        <v>0.61640908929728477</v>
      </c>
      <c r="S24" s="6"/>
      <c r="T24" s="6" t="s">
        <v>866</v>
      </c>
    </row>
    <row r="25" spans="1:24" x14ac:dyDescent="0.2">
      <c r="A25" s="13" t="s">
        <v>867</v>
      </c>
      <c r="B25" s="14">
        <v>316.5</v>
      </c>
      <c r="C25" s="5">
        <v>7.1249269999999996</v>
      </c>
      <c r="D25" s="5">
        <f>1.6*0.08+(C25-1.6)*0.5</f>
        <v>2.8904635000000001</v>
      </c>
      <c r="E25" s="6">
        <f t="shared" si="1"/>
        <v>9.2564281425273464E-3</v>
      </c>
      <c r="G25" s="58">
        <v>229</v>
      </c>
      <c r="H25" s="6">
        <v>0.32</v>
      </c>
      <c r="K25" s="6">
        <v>324.89999999999998</v>
      </c>
      <c r="L25" s="6">
        <v>194.9</v>
      </c>
      <c r="M25" s="6">
        <f t="shared" si="2"/>
        <v>1.8040778449785799</v>
      </c>
      <c r="N25" s="6">
        <f t="shared" si="6"/>
        <v>0.5998768851954448</v>
      </c>
      <c r="O25" s="6">
        <f t="shared" si="5"/>
        <v>0.85109170305676862</v>
      </c>
      <c r="Q25" s="17">
        <f>G25*E25</f>
        <v>2.1197220446387623</v>
      </c>
      <c r="R25" s="85">
        <f t="shared" si="0"/>
        <v>0.40568324419323881</v>
      </c>
      <c r="S25" s="6"/>
      <c r="T25" s="6" t="s">
        <v>868</v>
      </c>
    </row>
    <row r="26" spans="1:24" x14ac:dyDescent="0.2">
      <c r="A26" s="13" t="s">
        <v>871</v>
      </c>
      <c r="B26" s="14">
        <v>6011</v>
      </c>
      <c r="C26" s="5">
        <f>1.692+5.255036</f>
        <v>6.9470359999999998</v>
      </c>
      <c r="D26" s="5">
        <f t="shared" ref="D26:D32" si="7">C26/2</f>
        <v>3.4735179999999999</v>
      </c>
      <c r="E26" s="6">
        <f t="shared" si="1"/>
        <v>5.7819437174476027E-4</v>
      </c>
      <c r="G26" s="58">
        <v>5336</v>
      </c>
      <c r="K26" s="6">
        <v>6011</v>
      </c>
      <c r="L26" s="6">
        <v>4114</v>
      </c>
      <c r="M26" s="6">
        <f t="shared" si="2"/>
        <v>2.3786916453579439</v>
      </c>
      <c r="N26" s="6">
        <f t="shared" si="6"/>
        <v>0.68441191149559144</v>
      </c>
      <c r="O26" s="6">
        <f t="shared" si="5"/>
        <v>0.77098950524737631</v>
      </c>
      <c r="Q26" s="17">
        <v>3.7</v>
      </c>
      <c r="R26" s="85">
        <f t="shared" si="0"/>
        <v>0.5</v>
      </c>
      <c r="S26" s="6"/>
      <c r="T26" s="6" t="s">
        <v>872</v>
      </c>
    </row>
    <row r="27" spans="1:24" x14ac:dyDescent="0.2">
      <c r="A27" s="13" t="s">
        <v>873</v>
      </c>
      <c r="B27" s="14">
        <v>210.6</v>
      </c>
      <c r="C27" s="5">
        <v>5.177003</v>
      </c>
      <c r="D27" s="5">
        <f t="shared" si="7"/>
        <v>2.5885015</v>
      </c>
      <c r="E27" s="6">
        <f t="shared" si="1"/>
        <v>1.2444030828420768E-2</v>
      </c>
      <c r="G27" s="58">
        <v>154</v>
      </c>
      <c r="K27" s="6">
        <v>210.9</v>
      </c>
      <c r="L27" s="6">
        <v>139.1</v>
      </c>
      <c r="M27" s="6">
        <f t="shared" si="2"/>
        <v>1.7309646882333287</v>
      </c>
      <c r="N27" s="6">
        <f t="shared" si="6"/>
        <v>0.65955429113323849</v>
      </c>
      <c r="O27" s="6">
        <f t="shared" si="5"/>
        <v>0.90324675324675319</v>
      </c>
      <c r="Q27" s="17">
        <f t="shared" ref="Q27:Q33" si="8">G27*E27</f>
        <v>1.9163807475767982</v>
      </c>
      <c r="R27" s="85">
        <f t="shared" si="0"/>
        <v>0.5</v>
      </c>
      <c r="S27" s="6"/>
      <c r="T27" s="6" t="s">
        <v>874</v>
      </c>
    </row>
    <row r="28" spans="1:24" x14ac:dyDescent="0.2">
      <c r="A28" s="13" t="s">
        <v>875</v>
      </c>
      <c r="B28" s="14">
        <v>476.4</v>
      </c>
      <c r="C28" s="5">
        <v>4.9777750000000003</v>
      </c>
      <c r="D28" s="5">
        <f t="shared" si="7"/>
        <v>2.4888875000000001</v>
      </c>
      <c r="E28" s="6">
        <f t="shared" si="1"/>
        <v>5.2518023619882942E-3</v>
      </c>
      <c r="G28" s="58">
        <v>352</v>
      </c>
      <c r="K28" s="6">
        <v>488.3</v>
      </c>
      <c r="L28" s="6">
        <v>248.8</v>
      </c>
      <c r="M28" s="6">
        <f t="shared" si="2"/>
        <v>1.3066484276626877</v>
      </c>
      <c r="N28" s="6">
        <f t="shared" si="6"/>
        <v>0.50952283432316203</v>
      </c>
      <c r="O28" s="6">
        <f t="shared" si="5"/>
        <v>0.7068181818181819</v>
      </c>
      <c r="Q28" s="17">
        <f t="shared" si="8"/>
        <v>1.8486344314198795</v>
      </c>
      <c r="R28" s="85">
        <f t="shared" si="0"/>
        <v>0.5</v>
      </c>
      <c r="S28" s="6"/>
      <c r="T28" s="6" t="s">
        <v>876</v>
      </c>
    </row>
    <row r="29" spans="1:24" x14ac:dyDescent="0.2">
      <c r="A29" s="13" t="s">
        <v>877</v>
      </c>
      <c r="B29" s="14">
        <v>88.3</v>
      </c>
      <c r="C29" s="5">
        <v>4.6123519999999996</v>
      </c>
      <c r="D29" s="5">
        <f t="shared" si="7"/>
        <v>2.3061759999999998</v>
      </c>
      <c r="E29" s="6">
        <f t="shared" si="1"/>
        <v>2.6817925901283325E-2</v>
      </c>
      <c r="G29" s="58">
        <v>72.400000000000006</v>
      </c>
      <c r="H29" s="6">
        <f>24/78</f>
        <v>0.30769230769230771</v>
      </c>
      <c r="K29" s="6">
        <v>88.6</v>
      </c>
      <c r="L29" s="6">
        <v>57.5</v>
      </c>
      <c r="M29" s="6">
        <f t="shared" si="2"/>
        <v>1.5420307393237911</v>
      </c>
      <c r="N29" s="6">
        <f t="shared" si="6"/>
        <v>0.6489841986455982</v>
      </c>
      <c r="O29" s="6">
        <f t="shared" si="5"/>
        <v>0.7941988950276242</v>
      </c>
      <c r="Q29" s="17">
        <f t="shared" si="8"/>
        <v>1.941617835252913</v>
      </c>
      <c r="R29" s="85">
        <f t="shared" si="0"/>
        <v>0.5</v>
      </c>
      <c r="S29" s="6"/>
      <c r="T29" s="6" t="s">
        <v>878</v>
      </c>
    </row>
    <row r="30" spans="1:24" x14ac:dyDescent="0.2">
      <c r="A30" s="13" t="s">
        <v>881</v>
      </c>
      <c r="B30" s="14">
        <v>3093</v>
      </c>
      <c r="C30" s="5">
        <f>3.535857+0.54981</f>
        <v>4.0856669999999999</v>
      </c>
      <c r="D30" s="5">
        <f t="shared" si="7"/>
        <v>2.0428335</v>
      </c>
      <c r="E30" s="6">
        <f t="shared" si="1"/>
        <v>6.6090644093692592E-4</v>
      </c>
      <c r="G30" s="58">
        <v>1084</v>
      </c>
      <c r="H30" s="6">
        <f>704/1280</f>
        <v>0.55000000000000004</v>
      </c>
      <c r="K30" s="6">
        <v>3016</v>
      </c>
      <c r="L30" s="6">
        <v>1519</v>
      </c>
      <c r="M30" s="6">
        <f t="shared" si="2"/>
        <v>1.0039168837831904</v>
      </c>
      <c r="N30" s="6">
        <f t="shared" si="6"/>
        <v>0.50364721485411146</v>
      </c>
      <c r="O30" s="6">
        <f t="shared" si="5"/>
        <v>1.4012915129151291</v>
      </c>
      <c r="Q30" s="5">
        <f t="shared" si="8"/>
        <v>0.71642258197562769</v>
      </c>
      <c r="R30" s="85">
        <f t="shared" si="0"/>
        <v>0.5</v>
      </c>
      <c r="S30" s="6"/>
      <c r="T30" s="6" t="s">
        <v>883</v>
      </c>
    </row>
    <row r="31" spans="1:24" x14ac:dyDescent="0.2">
      <c r="A31" s="13" t="s">
        <v>879</v>
      </c>
      <c r="B31" s="14">
        <v>1819</v>
      </c>
      <c r="C31" s="5">
        <v>3.7870659999999998</v>
      </c>
      <c r="D31" s="5">
        <f t="shared" si="7"/>
        <v>1.8935329999999999</v>
      </c>
      <c r="E31" s="6">
        <f t="shared" si="1"/>
        <v>1.0420594689347941E-3</v>
      </c>
      <c r="G31" s="58">
        <v>2261</v>
      </c>
      <c r="H31" s="6">
        <v>0.33</v>
      </c>
      <c r="K31" s="6">
        <v>1821</v>
      </c>
      <c r="L31" s="6">
        <v>1148</v>
      </c>
      <c r="M31" s="6">
        <f t="shared" si="2"/>
        <v>1.1962842703371437</v>
      </c>
      <c r="N31" s="6">
        <f t="shared" si="6"/>
        <v>0.63042284459088416</v>
      </c>
      <c r="O31" s="6">
        <f t="shared" si="5"/>
        <v>0.50773993808049533</v>
      </c>
      <c r="Q31" s="17">
        <f t="shared" si="8"/>
        <v>2.3560964592615696</v>
      </c>
      <c r="R31" s="85">
        <f t="shared" si="0"/>
        <v>0.5</v>
      </c>
      <c r="S31" s="6"/>
      <c r="T31" s="6" t="s">
        <v>876</v>
      </c>
    </row>
    <row r="32" spans="1:24" x14ac:dyDescent="0.2">
      <c r="A32" s="13" t="s">
        <v>880</v>
      </c>
      <c r="B32" s="14">
        <v>354</v>
      </c>
      <c r="C32" s="5">
        <v>3.6129820000000001</v>
      </c>
      <c r="D32" s="5">
        <f t="shared" si="7"/>
        <v>1.8064910000000001</v>
      </c>
      <c r="E32" s="6">
        <f t="shared" si="1"/>
        <v>5.1292569392583556E-3</v>
      </c>
      <c r="G32" s="58">
        <v>338</v>
      </c>
      <c r="K32" s="6">
        <v>354</v>
      </c>
      <c r="L32" s="6">
        <v>254</v>
      </c>
      <c r="M32" s="6">
        <f t="shared" si="2"/>
        <v>1.3028312625716223</v>
      </c>
      <c r="N32" s="6">
        <f t="shared" si="6"/>
        <v>0.71751412429378536</v>
      </c>
      <c r="O32" s="6">
        <f t="shared" si="5"/>
        <v>0.75147928994082835</v>
      </c>
      <c r="Q32" s="17">
        <f t="shared" si="8"/>
        <v>1.7336888454693242</v>
      </c>
      <c r="R32" s="85">
        <f t="shared" si="0"/>
        <v>0.5</v>
      </c>
      <c r="S32" s="6"/>
      <c r="T32" s="6" t="s">
        <v>876</v>
      </c>
    </row>
    <row r="33" spans="1:20" x14ac:dyDescent="0.2">
      <c r="A33" s="13" t="s">
        <v>882</v>
      </c>
      <c r="B33" s="14">
        <v>58.2</v>
      </c>
      <c r="C33" s="5">
        <v>3.425405</v>
      </c>
      <c r="D33" s="5">
        <f>0.08*C33</f>
        <v>0.27403240000000001</v>
      </c>
      <c r="E33" s="6">
        <f t="shared" si="1"/>
        <v>4.9780060456148635E-3</v>
      </c>
      <c r="G33" s="58">
        <v>8</v>
      </c>
      <c r="K33" s="6">
        <v>58.2</v>
      </c>
      <c r="L33" s="6">
        <v>14.6</v>
      </c>
      <c r="M33" s="6">
        <f t="shared" si="2"/>
        <v>7.2678888265977001E-2</v>
      </c>
      <c r="N33" s="6">
        <f t="shared" si="6"/>
        <v>0.25085910652920962</v>
      </c>
      <c r="O33" s="6">
        <f t="shared" si="5"/>
        <v>1.825</v>
      </c>
      <c r="Q33" s="5">
        <f t="shared" si="8"/>
        <v>3.9824048364918908E-2</v>
      </c>
      <c r="R33" s="85">
        <f t="shared" si="0"/>
        <v>0.08</v>
      </c>
      <c r="S33" s="6"/>
      <c r="T33" s="6" t="s">
        <v>884</v>
      </c>
    </row>
    <row r="34" spans="1:20" x14ac:dyDescent="0.2">
      <c r="A34" s="7" t="s">
        <v>895</v>
      </c>
      <c r="C34" s="19">
        <v>2.4680330000000001</v>
      </c>
      <c r="D34" s="5">
        <f t="shared" ref="D34:D53" si="9">C34/2</f>
        <v>1.2340165000000001</v>
      </c>
      <c r="N34" s="6">
        <v>0.54891025962032913</v>
      </c>
      <c r="O34" s="6">
        <v>0.78766175377149272</v>
      </c>
      <c r="Q34" s="5">
        <f>D34*N34/O34</f>
        <v>0.85996852601691642</v>
      </c>
      <c r="R34" s="85">
        <f t="shared" ref="R34:R54" si="10">D34/C34</f>
        <v>0.5</v>
      </c>
      <c r="T34" s="6" t="s">
        <v>893</v>
      </c>
    </row>
    <row r="35" spans="1:20" x14ac:dyDescent="0.2">
      <c r="A35" s="13" t="s">
        <v>885</v>
      </c>
      <c r="B35" s="14">
        <v>28.3</v>
      </c>
      <c r="C35" s="5">
        <v>1.7054530000000001</v>
      </c>
      <c r="D35" s="5">
        <f t="shared" si="9"/>
        <v>0.85272650000000005</v>
      </c>
      <c r="E35" s="6">
        <f>D35/(B35-(C35-D35))</f>
        <v>3.1067803510610989E-2</v>
      </c>
      <c r="G35" s="58">
        <v>28</v>
      </c>
      <c r="K35" s="6">
        <v>28.3</v>
      </c>
      <c r="L35" s="6">
        <v>23.2</v>
      </c>
      <c r="M35" s="6">
        <f>L35*E35</f>
        <v>0.72077304144617493</v>
      </c>
      <c r="N35" s="6">
        <f>L35/K35</f>
        <v>0.81978798586572432</v>
      </c>
      <c r="O35" s="6">
        <f>L35/G35</f>
        <v>0.82857142857142851</v>
      </c>
      <c r="Q35" s="5">
        <f>G35*E35</f>
        <v>0.86989849829710764</v>
      </c>
      <c r="R35" s="85">
        <f t="shared" si="10"/>
        <v>0.5</v>
      </c>
      <c r="S35" s="6"/>
      <c r="T35" s="6" t="s">
        <v>876</v>
      </c>
    </row>
    <row r="36" spans="1:20" x14ac:dyDescent="0.2">
      <c r="A36" s="13" t="s">
        <v>886</v>
      </c>
      <c r="B36" s="14">
        <v>136</v>
      </c>
      <c r="C36" s="5">
        <v>1.2725610000000001</v>
      </c>
      <c r="D36" s="5">
        <f t="shared" si="9"/>
        <v>0.63628050000000003</v>
      </c>
      <c r="E36" s="6">
        <f>D36/(B36-(C36-D36))</f>
        <v>4.7005246483345928E-3</v>
      </c>
      <c r="G36" s="6">
        <v>132</v>
      </c>
      <c r="K36" s="6">
        <v>136</v>
      </c>
      <c r="L36" s="6">
        <v>100</v>
      </c>
      <c r="M36" s="6">
        <f>L36*E36</f>
        <v>0.4700524648334593</v>
      </c>
      <c r="N36" s="6">
        <f>L36/K36</f>
        <v>0.73529411764705888</v>
      </c>
      <c r="O36" s="6">
        <f>L36/G36</f>
        <v>0.75757575757575757</v>
      </c>
      <c r="Q36" s="5">
        <f>G36*E36</f>
        <v>0.62046925358016625</v>
      </c>
      <c r="R36" s="85">
        <f t="shared" si="10"/>
        <v>0.5</v>
      </c>
      <c r="S36" s="6"/>
      <c r="T36" s="6" t="s">
        <v>876</v>
      </c>
    </row>
    <row r="37" spans="1:20" x14ac:dyDescent="0.2">
      <c r="A37" s="7" t="s">
        <v>371</v>
      </c>
      <c r="B37" s="14">
        <v>325</v>
      </c>
      <c r="C37" s="5">
        <v>1.148957</v>
      </c>
      <c r="D37" s="5">
        <f t="shared" si="9"/>
        <v>0.5744785</v>
      </c>
      <c r="E37" s="6">
        <f>D37/(B37-(C37-D37))</f>
        <v>1.7707561887975573E-3</v>
      </c>
      <c r="G37" s="6">
        <v>226</v>
      </c>
      <c r="K37" s="6">
        <v>326</v>
      </c>
      <c r="L37" s="6">
        <v>159</v>
      </c>
      <c r="M37" s="6">
        <f>L37*E37</f>
        <v>0.28155023401881163</v>
      </c>
      <c r="N37" s="6">
        <f>L37/K37</f>
        <v>0.48773006134969327</v>
      </c>
      <c r="O37" s="6">
        <f>L37/G37</f>
        <v>0.70353982300884954</v>
      </c>
      <c r="Q37" s="5">
        <f>G37*E37</f>
        <v>0.40019089866824797</v>
      </c>
      <c r="R37" s="85">
        <f t="shared" si="10"/>
        <v>0.5</v>
      </c>
      <c r="S37" s="6"/>
      <c r="T37" s="6" t="s">
        <v>876</v>
      </c>
    </row>
    <row r="38" spans="1:20" s="10" customFormat="1" ht="15" x14ac:dyDescent="0.25">
      <c r="A38" s="78" t="s">
        <v>899</v>
      </c>
      <c r="C38" s="87">
        <f>SUM(C2:C37)</f>
        <v>1006.1615639999999</v>
      </c>
      <c r="D38" s="87">
        <f>SUM(D2:D37)</f>
        <v>268.07158386164986</v>
      </c>
      <c r="G38" s="10">
        <f>SUM(G2:G37)</f>
        <v>75957.799999999988</v>
      </c>
      <c r="Q38" s="87">
        <f>SUM(Q2:Q37)</f>
        <v>262.05231064181299</v>
      </c>
      <c r="R38" s="86">
        <f t="shared" ref="R38" si="11">D38/C38</f>
        <v>0.26642995862009483</v>
      </c>
      <c r="S38" s="44"/>
    </row>
    <row r="39" spans="1:20" x14ac:dyDescent="0.2">
      <c r="A39" s="7"/>
      <c r="B39" s="14"/>
      <c r="C39" s="5"/>
      <c r="D39" s="5"/>
      <c r="Q39" s="5"/>
      <c r="R39" s="85"/>
      <c r="S39" s="6"/>
    </row>
    <row r="40" spans="1:20" ht="15" x14ac:dyDescent="0.25">
      <c r="A40" s="7"/>
      <c r="B40" s="14"/>
      <c r="C40" s="5"/>
      <c r="D40" s="5"/>
      <c r="E40" s="64"/>
      <c r="Q40" s="5"/>
      <c r="R40" s="85"/>
      <c r="S40" s="6"/>
    </row>
    <row r="41" spans="1:20" x14ac:dyDescent="0.2">
      <c r="A41" s="7"/>
      <c r="B41" s="14"/>
      <c r="C41" s="5"/>
      <c r="D41" s="5"/>
      <c r="Q41" s="5"/>
      <c r="R41" s="85"/>
      <c r="S41" s="6"/>
    </row>
    <row r="42" spans="1:20" x14ac:dyDescent="0.2">
      <c r="A42" s="7"/>
      <c r="B42" s="14"/>
      <c r="C42" s="5"/>
      <c r="D42" s="5"/>
      <c r="Q42" s="5"/>
      <c r="R42" s="85"/>
      <c r="S42" s="6"/>
    </row>
    <row r="43" spans="1:20" x14ac:dyDescent="0.2">
      <c r="A43" s="7" t="s">
        <v>372</v>
      </c>
      <c r="C43" s="5">
        <v>0.94332700000000003</v>
      </c>
      <c r="D43" s="5">
        <f t="shared" si="9"/>
        <v>0.47166350000000001</v>
      </c>
      <c r="N43" s="6">
        <v>0.54891025962032913</v>
      </c>
      <c r="O43" s="6">
        <v>0.78766175377149272</v>
      </c>
      <c r="Q43" s="5">
        <f t="shared" ref="Q43:Q53" si="12">D43*N43/O43</f>
        <v>0.3286955764943012</v>
      </c>
      <c r="R43" s="85">
        <f t="shared" si="10"/>
        <v>0.5</v>
      </c>
      <c r="S43" s="6"/>
      <c r="T43" s="6" t="s">
        <v>893</v>
      </c>
    </row>
    <row r="44" spans="1:20" x14ac:dyDescent="0.2">
      <c r="A44" s="7" t="s">
        <v>403</v>
      </c>
      <c r="C44" s="5">
        <v>0.87695299999999998</v>
      </c>
      <c r="D44" s="5">
        <f t="shared" si="9"/>
        <v>0.43847649999999999</v>
      </c>
      <c r="N44" s="6">
        <v>0.54891025962032913</v>
      </c>
      <c r="O44" s="6">
        <v>0.78766175377149272</v>
      </c>
      <c r="Q44" s="5">
        <f t="shared" si="12"/>
        <v>0.30556802878896383</v>
      </c>
      <c r="R44" s="85">
        <f t="shared" si="10"/>
        <v>0.5</v>
      </c>
      <c r="S44" s="6"/>
      <c r="T44" s="6" t="s">
        <v>893</v>
      </c>
    </row>
    <row r="45" spans="1:20" x14ac:dyDescent="0.2">
      <c r="A45" s="7" t="s">
        <v>402</v>
      </c>
      <c r="C45" s="5">
        <v>0.65384200000000003</v>
      </c>
      <c r="D45" s="5">
        <f t="shared" si="9"/>
        <v>0.32692100000000002</v>
      </c>
      <c r="N45" s="6">
        <v>0.54891025962032913</v>
      </c>
      <c r="O45" s="6">
        <v>0.78766175377149272</v>
      </c>
      <c r="Q45" s="5">
        <f t="shared" si="12"/>
        <v>0.22782658942889039</v>
      </c>
      <c r="R45" s="85">
        <f t="shared" si="10"/>
        <v>0.5</v>
      </c>
      <c r="S45" s="6"/>
      <c r="T45" s="6" t="s">
        <v>893</v>
      </c>
    </row>
    <row r="46" spans="1:20" x14ac:dyDescent="0.2">
      <c r="A46" s="7" t="s">
        <v>440</v>
      </c>
      <c r="C46" s="5">
        <v>0.40030399999999999</v>
      </c>
      <c r="D46" s="5">
        <f t="shared" si="9"/>
        <v>0.200152</v>
      </c>
      <c r="N46" s="6">
        <v>0.54891025962032913</v>
      </c>
      <c r="O46" s="6">
        <v>0.78766175377149272</v>
      </c>
      <c r="Q46" s="5">
        <f t="shared" si="12"/>
        <v>0.1394830785644583</v>
      </c>
      <c r="R46" s="85">
        <f t="shared" si="10"/>
        <v>0.5</v>
      </c>
      <c r="S46" s="6"/>
      <c r="T46" s="6" t="s">
        <v>893</v>
      </c>
    </row>
    <row r="47" spans="1:20" x14ac:dyDescent="0.2">
      <c r="A47" s="7" t="s">
        <v>374</v>
      </c>
      <c r="C47" s="5">
        <v>0.27216899999999999</v>
      </c>
      <c r="D47" s="5">
        <f t="shared" si="9"/>
        <v>0.1360845</v>
      </c>
      <c r="N47" s="6">
        <v>0.54891025962032913</v>
      </c>
      <c r="O47" s="6">
        <v>0.78766175377149272</v>
      </c>
      <c r="Q47" s="5">
        <f t="shared" si="12"/>
        <v>9.4835350158404733E-2</v>
      </c>
      <c r="R47" s="85">
        <f t="shared" si="10"/>
        <v>0.5</v>
      </c>
      <c r="S47" s="6"/>
      <c r="T47" s="6" t="s">
        <v>893</v>
      </c>
    </row>
    <row r="48" spans="1:20" x14ac:dyDescent="0.2">
      <c r="A48" s="7" t="s">
        <v>375</v>
      </c>
      <c r="C48" s="5">
        <v>0.18018200000000001</v>
      </c>
      <c r="D48" s="5">
        <f t="shared" si="9"/>
        <v>9.0091000000000004E-2</v>
      </c>
      <c r="N48" s="6">
        <v>0.54891025962032913</v>
      </c>
      <c r="O48" s="6">
        <v>0.78766175377149272</v>
      </c>
      <c r="Q48" s="5">
        <f t="shared" si="12"/>
        <v>6.2783134972174207E-2</v>
      </c>
      <c r="R48" s="85">
        <f t="shared" si="10"/>
        <v>0.5</v>
      </c>
      <c r="S48" s="6"/>
      <c r="T48" s="6" t="s">
        <v>893</v>
      </c>
    </row>
    <row r="49" spans="1:20" x14ac:dyDescent="0.2">
      <c r="A49" s="7" t="s">
        <v>376</v>
      </c>
      <c r="C49" s="5">
        <v>0.13123399999999999</v>
      </c>
      <c r="D49" s="5">
        <f t="shared" si="9"/>
        <v>6.5616999999999995E-2</v>
      </c>
      <c r="N49" s="6">
        <v>0.54891025962032913</v>
      </c>
      <c r="O49" s="6">
        <v>0.78766175377149272</v>
      </c>
      <c r="Q49" s="5">
        <f t="shared" si="12"/>
        <v>4.572755289062342E-2</v>
      </c>
      <c r="R49" s="85">
        <f t="shared" si="10"/>
        <v>0.5</v>
      </c>
      <c r="S49" s="6"/>
      <c r="T49" s="6" t="s">
        <v>893</v>
      </c>
    </row>
    <row r="50" spans="1:20" x14ac:dyDescent="0.2">
      <c r="A50" s="7" t="s">
        <v>377</v>
      </c>
      <c r="C50" s="5">
        <v>0.114675</v>
      </c>
      <c r="D50" s="5">
        <f t="shared" si="9"/>
        <v>5.73375E-2</v>
      </c>
      <c r="N50" s="6">
        <v>0.54891025962032913</v>
      </c>
      <c r="O50" s="6">
        <v>0.78766175377149272</v>
      </c>
      <c r="Q50" s="5">
        <f t="shared" si="12"/>
        <v>3.9957687243642966E-2</v>
      </c>
      <c r="R50" s="85">
        <f t="shared" si="10"/>
        <v>0.5</v>
      </c>
      <c r="S50" s="6"/>
      <c r="T50" s="6" t="s">
        <v>893</v>
      </c>
    </row>
    <row r="51" spans="1:20" x14ac:dyDescent="0.2">
      <c r="A51" s="7" t="s">
        <v>378</v>
      </c>
      <c r="C51" s="5">
        <v>4.5850000000000002E-2</v>
      </c>
      <c r="D51" s="5">
        <f t="shared" si="9"/>
        <v>2.2925000000000001E-2</v>
      </c>
      <c r="N51" s="6">
        <v>0.54891025962032913</v>
      </c>
      <c r="O51" s="6">
        <v>0.78766175377149272</v>
      </c>
      <c r="Q51" s="5">
        <f t="shared" si="12"/>
        <v>1.5976106039860737E-2</v>
      </c>
      <c r="R51" s="85">
        <f t="shared" si="10"/>
        <v>0.5</v>
      </c>
      <c r="S51" s="6"/>
      <c r="T51" s="6" t="s">
        <v>893</v>
      </c>
    </row>
    <row r="52" spans="1:20" x14ac:dyDescent="0.2">
      <c r="A52" s="7" t="s">
        <v>379</v>
      </c>
      <c r="C52" s="5">
        <v>3.8627000000000002E-2</v>
      </c>
      <c r="D52" s="5">
        <f t="shared" si="9"/>
        <v>1.9313500000000001E-2</v>
      </c>
      <c r="N52" s="6">
        <v>0.54891025962032913</v>
      </c>
      <c r="O52" s="6">
        <v>0.78766175377149272</v>
      </c>
      <c r="Q52" s="5">
        <f t="shared" si="12"/>
        <v>1.3459303118902961E-2</v>
      </c>
      <c r="R52" s="85">
        <f t="shared" si="10"/>
        <v>0.5</v>
      </c>
      <c r="S52" s="6"/>
      <c r="T52" s="6" t="s">
        <v>893</v>
      </c>
    </row>
    <row r="53" spans="1:20" x14ac:dyDescent="0.2">
      <c r="A53" s="7" t="s">
        <v>380</v>
      </c>
      <c r="C53" s="5">
        <v>3.6811000000000003E-2</v>
      </c>
      <c r="D53" s="5">
        <f t="shared" si="9"/>
        <v>1.8405500000000002E-2</v>
      </c>
      <c r="N53" s="6">
        <v>0.54891025962032913</v>
      </c>
      <c r="O53" s="6">
        <v>0.78766175377149272</v>
      </c>
      <c r="Q53" s="5">
        <f t="shared" si="12"/>
        <v>1.2826530849145335E-2</v>
      </c>
      <c r="R53" s="85">
        <f t="shared" si="10"/>
        <v>0.5</v>
      </c>
      <c r="S53" s="6"/>
      <c r="T53" s="6" t="s">
        <v>896</v>
      </c>
    </row>
    <row r="54" spans="1:20" s="10" customFormat="1" ht="15" x14ac:dyDescent="0.25">
      <c r="A54" s="78" t="s">
        <v>899</v>
      </c>
      <c r="C54" s="79">
        <f>SUM(C43:C53)</f>
        <v>3.6939739999999999</v>
      </c>
      <c r="D54" s="79">
        <f>SUM(D43:D53)</f>
        <v>1.8469869999999999</v>
      </c>
      <c r="Q54" s="79">
        <f>SUM(Q43:Q53)</f>
        <v>1.2871389385493679</v>
      </c>
      <c r="R54" s="86">
        <f t="shared" si="10"/>
        <v>0.5</v>
      </c>
      <c r="S54" s="44"/>
    </row>
    <row r="56" spans="1:20" x14ac:dyDescent="0.2">
      <c r="A56" s="71" t="s">
        <v>1001</v>
      </c>
      <c r="B56" s="24"/>
      <c r="C56" s="24">
        <f>COUNTIF(C2:C37,"&gt;1")</f>
        <v>36</v>
      </c>
    </row>
    <row r="57" spans="1:20" x14ac:dyDescent="0.2">
      <c r="A57" s="71" t="s">
        <v>1002</v>
      </c>
      <c r="B57" s="24"/>
      <c r="C57" s="24">
        <f>C56+COUNTIF(C43:C53,"&gt;0")</f>
        <v>47</v>
      </c>
      <c r="E57" s="2"/>
      <c r="F57" s="2"/>
      <c r="N57"/>
      <c r="Q57" s="6"/>
      <c r="R57" s="6"/>
      <c r="S57" s="6"/>
    </row>
    <row r="58" spans="1:20" x14ac:dyDescent="0.2">
      <c r="A58" s="71"/>
      <c r="B58" s="24"/>
      <c r="C58" s="24"/>
      <c r="E58" s="2"/>
      <c r="F58" s="2"/>
      <c r="Q58" s="6"/>
      <c r="R58" s="6"/>
      <c r="S58" s="6"/>
    </row>
    <row r="59" spans="1:20" x14ac:dyDescent="0.2">
      <c r="D59" s="6"/>
      <c r="E59" s="2"/>
      <c r="F59" s="2"/>
      <c r="G59" s="2"/>
      <c r="O59"/>
      <c r="Q59" s="6"/>
      <c r="R59" s="6"/>
      <c r="S59" s="6"/>
    </row>
  </sheetData>
  <sortState ref="A2:AE49">
    <sortCondition descending="1" ref="B2:B49"/>
    <sortCondition ref="A2:A49"/>
  </sortState>
  <pageMargins left="0.7" right="0.7" top="0.75" bottom="0.75" header="0.3" footer="0.3"/>
  <pageSetup paperSize="9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E14" sqref="E14"/>
    </sheetView>
  </sheetViews>
  <sheetFormatPr defaultRowHeight="14.25" x14ac:dyDescent="0.2"/>
  <cols>
    <col min="1" max="1" width="46.75" customWidth="1"/>
    <col min="2" max="2" width="12.625" customWidth="1"/>
    <col min="3" max="3" width="10" customWidth="1"/>
    <col min="4" max="4" width="18.875" customWidth="1"/>
    <col min="5" max="5" width="13.625" customWidth="1"/>
    <col min="6" max="6" width="12.75" customWidth="1"/>
    <col min="8" max="8" width="9" style="6"/>
  </cols>
  <sheetData>
    <row r="1" spans="1:7" s="10" customFormat="1" ht="15" x14ac:dyDescent="0.25">
      <c r="A1" s="10" t="s">
        <v>1028</v>
      </c>
    </row>
    <row r="2" spans="1:7" s="6" customFormat="1" x14ac:dyDescent="0.2"/>
    <row r="3" spans="1:7" s="10" customFormat="1" ht="15.75" customHeight="1" x14ac:dyDescent="0.25">
      <c r="A3" s="101" t="s">
        <v>404</v>
      </c>
      <c r="B3" s="101" t="s">
        <v>315</v>
      </c>
      <c r="C3" s="101" t="s">
        <v>339</v>
      </c>
      <c r="D3" s="101" t="s">
        <v>689</v>
      </c>
      <c r="E3" s="101" t="s">
        <v>707</v>
      </c>
      <c r="F3" s="101"/>
      <c r="G3" s="101"/>
    </row>
    <row r="4" spans="1:7" s="6" customFormat="1" ht="15" x14ac:dyDescent="0.2">
      <c r="A4" s="59" t="s">
        <v>692</v>
      </c>
      <c r="B4" s="6">
        <v>5946</v>
      </c>
      <c r="C4" s="6">
        <v>5615</v>
      </c>
      <c r="D4" s="6">
        <v>3766</v>
      </c>
      <c r="E4" s="6">
        <v>5888</v>
      </c>
    </row>
    <row r="5" spans="1:7" s="2" customFormat="1" x14ac:dyDescent="0.2">
      <c r="A5" s="15"/>
      <c r="C5" s="62"/>
    </row>
    <row r="6" spans="1:7" x14ac:dyDescent="0.2">
      <c r="C6" t="s">
        <v>704</v>
      </c>
    </row>
    <row r="7" spans="1:7" x14ac:dyDescent="0.2">
      <c r="A7" t="s">
        <v>695</v>
      </c>
      <c r="B7" s="20" t="s">
        <v>697</v>
      </c>
      <c r="C7" s="20" t="s">
        <v>696</v>
      </c>
      <c r="D7" s="20" t="s">
        <v>698</v>
      </c>
      <c r="E7" s="20" t="s">
        <v>699</v>
      </c>
      <c r="F7" s="20" t="s">
        <v>705</v>
      </c>
    </row>
    <row r="8" spans="1:7" x14ac:dyDescent="0.2">
      <c r="A8" t="s">
        <v>700</v>
      </c>
      <c r="B8">
        <v>73</v>
      </c>
      <c r="C8">
        <v>337</v>
      </c>
      <c r="D8">
        <v>22.3</v>
      </c>
      <c r="E8">
        <v>22.3</v>
      </c>
      <c r="F8" s="30">
        <f>D8/C8</f>
        <v>6.6172106824925817E-2</v>
      </c>
    </row>
    <row r="9" spans="1:7" x14ac:dyDescent="0.2">
      <c r="A9" t="s">
        <v>701</v>
      </c>
      <c r="B9">
        <v>52</v>
      </c>
      <c r="C9">
        <v>152</v>
      </c>
      <c r="D9">
        <v>8.3000000000000007</v>
      </c>
      <c r="E9">
        <v>8.6999999999999993</v>
      </c>
    </row>
    <row r="10" spans="1:7" x14ac:dyDescent="0.2">
      <c r="A10" t="s">
        <v>702</v>
      </c>
      <c r="B10">
        <v>126</v>
      </c>
      <c r="C10">
        <v>51</v>
      </c>
      <c r="D10">
        <v>3.9</v>
      </c>
      <c r="E10">
        <v>3.6</v>
      </c>
    </row>
    <row r="11" spans="1:7" s="6" customFormat="1" x14ac:dyDescent="0.2">
      <c r="A11" s="6" t="s">
        <v>703</v>
      </c>
      <c r="B11" s="6">
        <v>93</v>
      </c>
      <c r="C11" s="6">
        <v>140</v>
      </c>
      <c r="D11" s="6">
        <v>10.1</v>
      </c>
      <c r="E11" s="6">
        <v>10</v>
      </c>
    </row>
    <row r="13" spans="1:7" x14ac:dyDescent="0.2">
      <c r="A13" t="s">
        <v>1029</v>
      </c>
      <c r="B13" s="68">
        <f>D4/C4</f>
        <v>0.6707034728406055</v>
      </c>
    </row>
    <row r="14" spans="1:7" x14ac:dyDescent="0.2">
      <c r="A14" t="s">
        <v>706</v>
      </c>
      <c r="B14" s="68">
        <f>D4/E4</f>
        <v>0.63960597826086951</v>
      </c>
    </row>
    <row r="16" spans="1:7" x14ac:dyDescent="0.2">
      <c r="A16" t="s">
        <v>1000</v>
      </c>
    </row>
    <row r="17" spans="1:4" x14ac:dyDescent="0.2">
      <c r="A17" t="s">
        <v>701</v>
      </c>
      <c r="B17">
        <v>100</v>
      </c>
    </row>
    <row r="18" spans="1:4" x14ac:dyDescent="0.2">
      <c r="A18" t="s">
        <v>702</v>
      </c>
      <c r="B18">
        <v>140</v>
      </c>
    </row>
    <row r="19" spans="1:4" x14ac:dyDescent="0.2">
      <c r="A19" t="s">
        <v>708</v>
      </c>
      <c r="B19">
        <v>140</v>
      </c>
    </row>
    <row r="20" spans="1:4" x14ac:dyDescent="0.2">
      <c r="C20" t="s">
        <v>710</v>
      </c>
    </row>
    <row r="21" spans="1:4" ht="15" x14ac:dyDescent="0.25">
      <c r="A21" s="10" t="s">
        <v>709</v>
      </c>
      <c r="C21" s="20" t="s">
        <v>820</v>
      </c>
      <c r="D21" s="20" t="s">
        <v>1030</v>
      </c>
    </row>
    <row r="22" spans="1:4" x14ac:dyDescent="0.2">
      <c r="A22" t="s">
        <v>1031</v>
      </c>
      <c r="B22">
        <v>486</v>
      </c>
    </row>
    <row r="23" spans="1:4" x14ac:dyDescent="0.2">
      <c r="A23" t="s">
        <v>1026</v>
      </c>
      <c r="B23">
        <v>53.5</v>
      </c>
      <c r="C23" s="24">
        <f>B23*$B$14</f>
        <v>34.218919836956516</v>
      </c>
      <c r="D23" s="24">
        <f>C23/$B$13</f>
        <v>51.019446331521735</v>
      </c>
    </row>
    <row r="24" spans="1:4" s="6" customFormat="1" x14ac:dyDescent="0.2">
      <c r="A24" s="6" t="s">
        <v>1027</v>
      </c>
      <c r="B24" s="6">
        <v>19.5</v>
      </c>
      <c r="C24" s="24">
        <f>B24*$B$14</f>
        <v>12.472316576086955</v>
      </c>
      <c r="D24" s="24">
        <f>C24/$B$13</f>
        <v>18.59587296195652</v>
      </c>
    </row>
    <row r="25" spans="1:4" x14ac:dyDescent="0.2">
      <c r="C25" s="24"/>
      <c r="D25" s="24"/>
    </row>
    <row r="26" spans="1:4" x14ac:dyDescent="0.2">
      <c r="A26" t="s">
        <v>711</v>
      </c>
      <c r="B26">
        <v>2.5499999999999998</v>
      </c>
      <c r="C26" s="24">
        <f>B26*$B$14</f>
        <v>1.6309952445652172</v>
      </c>
      <c r="D26" s="24">
        <f>C26/$B$13</f>
        <v>2.4317680027173911</v>
      </c>
    </row>
    <row r="27" spans="1:4" x14ac:dyDescent="0.2">
      <c r="A27" t="s">
        <v>712</v>
      </c>
      <c r="B27">
        <v>21</v>
      </c>
      <c r="C27" s="24">
        <f>B27*$B$14</f>
        <v>13.43172554347826</v>
      </c>
      <c r="D27" s="24">
        <f>C27/$B$13</f>
        <v>20.026324728260867</v>
      </c>
    </row>
    <row r="28" spans="1:4" x14ac:dyDescent="0.2">
      <c r="C28" s="24"/>
      <c r="D28" s="24"/>
    </row>
    <row r="29" spans="1:4" x14ac:dyDescent="0.2">
      <c r="A29" t="s">
        <v>967</v>
      </c>
      <c r="B29">
        <v>4</v>
      </c>
      <c r="C29" s="24">
        <f>B29*$B$14</f>
        <v>2.558423913043478</v>
      </c>
      <c r="D29" s="24">
        <f>C29/$B$13</f>
        <v>3.8145380434782608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tabSelected="1" workbookViewId="0">
      <selection activeCell="O13" sqref="O13"/>
    </sheetView>
  </sheetViews>
  <sheetFormatPr defaultRowHeight="14.25" x14ac:dyDescent="0.2"/>
  <cols>
    <col min="1" max="1" width="15.5" customWidth="1"/>
    <col min="11" max="11" width="9.375" bestFit="1" customWidth="1"/>
    <col min="18" max="18" width="9" style="6"/>
  </cols>
  <sheetData>
    <row r="1" spans="1:27" s="6" customFormat="1" ht="15" x14ac:dyDescent="0.25">
      <c r="A1" s="88" t="s">
        <v>951</v>
      </c>
      <c r="B1" s="88" t="s">
        <v>1018</v>
      </c>
      <c r="C1" s="88" t="s">
        <v>1017</v>
      </c>
      <c r="D1" s="88" t="s">
        <v>919</v>
      </c>
      <c r="E1" s="88" t="s">
        <v>1022</v>
      </c>
      <c r="F1" s="88" t="s">
        <v>1023</v>
      </c>
      <c r="I1" s="10" t="s">
        <v>973</v>
      </c>
      <c r="L1" s="6" t="s">
        <v>977</v>
      </c>
      <c r="S1" s="10" t="s">
        <v>1057</v>
      </c>
    </row>
    <row r="2" spans="1:27" s="6" customFormat="1" ht="15" x14ac:dyDescent="0.25">
      <c r="A2" s="10" t="s">
        <v>950</v>
      </c>
      <c r="J2" s="6" t="s">
        <v>746</v>
      </c>
      <c r="K2" s="6" t="s">
        <v>978</v>
      </c>
      <c r="T2" s="6" t="s">
        <v>1045</v>
      </c>
      <c r="U2" s="6" t="s">
        <v>1046</v>
      </c>
      <c r="V2" s="6" t="s">
        <v>1047</v>
      </c>
      <c r="W2" s="6" t="s">
        <v>1048</v>
      </c>
      <c r="X2" s="6" t="s">
        <v>1049</v>
      </c>
      <c r="Z2" s="6" t="s">
        <v>1050</v>
      </c>
      <c r="AA2" s="6" t="s">
        <v>1051</v>
      </c>
    </row>
    <row r="3" spans="1:27" s="6" customFormat="1" x14ac:dyDescent="0.2">
      <c r="A3" s="6" t="s">
        <v>960</v>
      </c>
      <c r="B3" s="34">
        <f>C3</f>
        <v>4637</v>
      </c>
      <c r="C3" s="34">
        <v>4637</v>
      </c>
      <c r="D3" s="89">
        <f t="shared" ref="D3:D18" si="0">C3/B3</f>
        <v>1</v>
      </c>
      <c r="E3" s="34">
        <v>1437</v>
      </c>
      <c r="F3" s="6">
        <v>3539</v>
      </c>
      <c r="I3" s="6" t="s">
        <v>949</v>
      </c>
      <c r="J3" s="6">
        <v>18</v>
      </c>
      <c r="K3" s="6">
        <f>0.8+0.3+0.5+3+0.7</f>
        <v>5.3</v>
      </c>
      <c r="L3" s="6" t="s">
        <v>979</v>
      </c>
      <c r="S3" s="6" t="s">
        <v>1052</v>
      </c>
      <c r="T3" s="6">
        <v>2</v>
      </c>
      <c r="U3" s="6">
        <v>2</v>
      </c>
      <c r="V3" s="34">
        <f>B6</f>
        <v>4836.5</v>
      </c>
      <c r="W3" s="34">
        <f>C6</f>
        <v>4836.5</v>
      </c>
      <c r="X3" s="34">
        <f>E6</f>
        <v>1626.6</v>
      </c>
      <c r="Z3" s="6">
        <f>T3-U3</f>
        <v>0</v>
      </c>
    </row>
    <row r="4" spans="1:27" s="6" customFormat="1" x14ac:dyDescent="0.2">
      <c r="A4" s="6" t="s">
        <v>961</v>
      </c>
      <c r="B4" s="34">
        <f>C4</f>
        <v>180</v>
      </c>
      <c r="C4" s="34">
        <v>180</v>
      </c>
      <c r="D4" s="89">
        <f t="shared" si="0"/>
        <v>1</v>
      </c>
      <c r="E4" s="34">
        <v>171</v>
      </c>
      <c r="F4" s="6">
        <v>738</v>
      </c>
      <c r="I4" s="6" t="s">
        <v>974</v>
      </c>
      <c r="J4" s="6">
        <v>12</v>
      </c>
      <c r="K4" s="6">
        <v>0.7</v>
      </c>
      <c r="L4" s="6" t="s">
        <v>1019</v>
      </c>
      <c r="S4" s="6" t="s">
        <v>949</v>
      </c>
      <c r="T4" s="6">
        <v>1</v>
      </c>
      <c r="U4" s="6">
        <v>1</v>
      </c>
      <c r="V4" s="34">
        <f>B7</f>
        <v>1070</v>
      </c>
      <c r="W4" s="34">
        <f>C7</f>
        <v>620</v>
      </c>
      <c r="X4" s="34">
        <f>E7</f>
        <v>442</v>
      </c>
      <c r="Z4" s="6">
        <f t="shared" ref="Z4:Z11" si="1">T4-U4</f>
        <v>0</v>
      </c>
    </row>
    <row r="5" spans="1:27" s="6" customFormat="1" x14ac:dyDescent="0.2">
      <c r="A5" s="6" t="s">
        <v>962</v>
      </c>
      <c r="B5" s="34">
        <f>C5</f>
        <v>19.5</v>
      </c>
      <c r="C5" s="34">
        <v>19.5</v>
      </c>
      <c r="D5" s="89">
        <f t="shared" si="0"/>
        <v>1</v>
      </c>
      <c r="E5" s="34">
        <v>18.600000000000001</v>
      </c>
      <c r="I5" s="6" t="s">
        <v>975</v>
      </c>
      <c r="J5" s="6">
        <v>1</v>
      </c>
      <c r="K5" s="6">
        <v>1</v>
      </c>
      <c r="S5" s="6" t="s">
        <v>1053</v>
      </c>
      <c r="T5" s="6">
        <v>47</v>
      </c>
      <c r="U5" s="6">
        <v>36</v>
      </c>
      <c r="V5" s="34">
        <f>B8</f>
        <v>1006.1615639999999</v>
      </c>
      <c r="W5" s="34">
        <f>C8</f>
        <v>268.07158386164986</v>
      </c>
      <c r="X5" s="34">
        <f>E8</f>
        <v>262.05231064181299</v>
      </c>
      <c r="Z5" s="6">
        <f t="shared" si="1"/>
        <v>11</v>
      </c>
      <c r="AA5" s="6">
        <v>4</v>
      </c>
    </row>
    <row r="6" spans="1:27" s="6" customFormat="1" ht="15" x14ac:dyDescent="0.25">
      <c r="A6" s="88" t="s">
        <v>959</v>
      </c>
      <c r="B6" s="36">
        <f>C6</f>
        <v>4836.5</v>
      </c>
      <c r="C6" s="36">
        <f>SUM(C3:C5)</f>
        <v>4836.5</v>
      </c>
      <c r="D6" s="60">
        <f t="shared" si="0"/>
        <v>1</v>
      </c>
      <c r="E6" s="36">
        <f>SUM(E3:E5)</f>
        <v>1626.6</v>
      </c>
      <c r="F6" s="36">
        <f>SUM(F3:F5)</f>
        <v>4277</v>
      </c>
      <c r="I6" s="6" t="s">
        <v>976</v>
      </c>
      <c r="J6" s="6">
        <v>7</v>
      </c>
      <c r="K6" s="6">
        <v>4.8</v>
      </c>
      <c r="M6" s="30"/>
      <c r="S6" s="6" t="s">
        <v>1054</v>
      </c>
      <c r="T6" s="6">
        <v>21</v>
      </c>
      <c r="U6" s="6">
        <v>18</v>
      </c>
      <c r="V6" s="34">
        <f>B16</f>
        <v>733.00153323999984</v>
      </c>
      <c r="W6" s="34">
        <f>C16</f>
        <v>485.87690110020003</v>
      </c>
      <c r="X6" s="34">
        <f>E16</f>
        <v>344.73532148908032</v>
      </c>
      <c r="Z6" s="6">
        <f t="shared" si="1"/>
        <v>3</v>
      </c>
      <c r="AA6" s="6">
        <v>1</v>
      </c>
    </row>
    <row r="7" spans="1:27" s="6" customFormat="1" ht="15" x14ac:dyDescent="0.25">
      <c r="A7" s="88" t="s">
        <v>963</v>
      </c>
      <c r="B7" s="36">
        <v>1070</v>
      </c>
      <c r="C7" s="36">
        <v>620</v>
      </c>
      <c r="D7" s="60">
        <f t="shared" si="0"/>
        <v>0.57943925233644855</v>
      </c>
      <c r="E7" s="36">
        <v>442</v>
      </c>
      <c r="F7" s="36">
        <v>442</v>
      </c>
      <c r="J7" s="6">
        <f>SUM(J3:J6)</f>
        <v>38</v>
      </c>
      <c r="K7" s="6">
        <f>SUM(K3:K6)</f>
        <v>11.8</v>
      </c>
      <c r="S7" s="6" t="s">
        <v>1055</v>
      </c>
      <c r="T7" s="6">
        <v>14</v>
      </c>
      <c r="U7" s="6">
        <v>7</v>
      </c>
      <c r="V7" s="34">
        <f>B17</f>
        <v>505.24982</v>
      </c>
      <c r="W7" s="34">
        <f>C17</f>
        <v>79.541043533279037</v>
      </c>
      <c r="X7" s="34">
        <f>E17</f>
        <v>63.379324890384197</v>
      </c>
      <c r="Z7" s="6">
        <f t="shared" si="1"/>
        <v>7</v>
      </c>
      <c r="AA7" s="6">
        <v>3.3</v>
      </c>
    </row>
    <row r="8" spans="1:27" s="6" customFormat="1" ht="15" x14ac:dyDescent="0.25">
      <c r="A8" s="88" t="s">
        <v>952</v>
      </c>
      <c r="B8" s="36">
        <f>'GOV bokf'!C38</f>
        <v>1006.1615639999999</v>
      </c>
      <c r="C8" s="36">
        <f>'GOV bokf'!D38</f>
        <v>268.07158386164986</v>
      </c>
      <c r="D8" s="60">
        <f t="shared" si="0"/>
        <v>0.26642995862009483</v>
      </c>
      <c r="E8" s="36">
        <f>'GOV bokf'!Q38</f>
        <v>262.05231064181299</v>
      </c>
      <c r="F8" s="10">
        <f>'GOV bokf'!G38</f>
        <v>75957.799999999988</v>
      </c>
      <c r="I8"/>
      <c r="J8"/>
      <c r="S8" s="6" t="s">
        <v>969</v>
      </c>
      <c r="T8" s="34">
        <f>SUM(T3:T7)</f>
        <v>85</v>
      </c>
      <c r="U8" s="34">
        <f t="shared" ref="U8:X8" si="2">SUM(U3:U7)</f>
        <v>64</v>
      </c>
      <c r="V8" s="34">
        <f t="shared" si="2"/>
        <v>8150.9129172399998</v>
      </c>
      <c r="W8" s="34">
        <f t="shared" si="2"/>
        <v>6289.9895284951281</v>
      </c>
      <c r="X8" s="34">
        <f t="shared" si="2"/>
        <v>2738.7669570212779</v>
      </c>
    </row>
    <row r="9" spans="1:27" x14ac:dyDescent="0.2">
      <c r="A9" t="s">
        <v>953</v>
      </c>
      <c r="B9" s="34">
        <f>'EDU bokf'!C19</f>
        <v>463.01153323999995</v>
      </c>
      <c r="C9" s="34">
        <f>'EDU bokf'!D19</f>
        <v>320.94404092000002</v>
      </c>
      <c r="D9" s="89">
        <f t="shared" si="0"/>
        <v>0.69316640705284571</v>
      </c>
      <c r="E9" s="34">
        <f>'EDU bokf'!L19</f>
        <v>201.35740502503779</v>
      </c>
      <c r="F9">
        <f>'EDU bokf'!F19</f>
        <v>45313.58</v>
      </c>
      <c r="S9" t="s">
        <v>502</v>
      </c>
      <c r="T9">
        <v>182</v>
      </c>
      <c r="U9">
        <v>68</v>
      </c>
      <c r="V9" s="34">
        <f>B20</f>
        <v>2923.5247940000004</v>
      </c>
      <c r="W9" s="34">
        <f>C20</f>
        <v>489.71281375533692</v>
      </c>
      <c r="X9" s="34">
        <f>E20</f>
        <v>758.16339780469264</v>
      </c>
      <c r="Z9" s="6">
        <f t="shared" si="1"/>
        <v>114</v>
      </c>
      <c r="AA9">
        <v>41</v>
      </c>
    </row>
    <row r="10" spans="1:27" x14ac:dyDescent="0.2">
      <c r="A10" s="6" t="s">
        <v>964</v>
      </c>
      <c r="B10" s="34">
        <v>26</v>
      </c>
      <c r="C10" s="34">
        <f>Uppsala_Studieavgiftsberäkning!B26</f>
        <v>2.5499999999999998</v>
      </c>
      <c r="D10" s="89">
        <f t="shared" si="0"/>
        <v>9.8076923076923075E-2</v>
      </c>
      <c r="E10" s="34">
        <f>Uppsala_Studieavgiftsberäkning!D26</f>
        <v>2.4317680027173911</v>
      </c>
      <c r="I10" s="6"/>
      <c r="J10" s="6" t="s">
        <v>980</v>
      </c>
      <c r="S10" t="s">
        <v>1056</v>
      </c>
      <c r="T10">
        <v>151</v>
      </c>
      <c r="U10">
        <v>20</v>
      </c>
      <c r="V10" s="34">
        <f>B22</f>
        <v>297.29577699999999</v>
      </c>
      <c r="W10" s="34">
        <f>C22</f>
        <v>98.652145323776196</v>
      </c>
      <c r="X10" s="34">
        <f>E22</f>
        <v>114.06047276221508</v>
      </c>
      <c r="Z10" s="6">
        <f t="shared" si="1"/>
        <v>131</v>
      </c>
      <c r="AA10">
        <v>22</v>
      </c>
    </row>
    <row r="11" spans="1:27" s="6" customFormat="1" x14ac:dyDescent="0.2">
      <c r="A11" s="6" t="s">
        <v>965</v>
      </c>
      <c r="B11" s="34">
        <v>42</v>
      </c>
      <c r="C11" s="34">
        <f>Uppsala_Studieavgiftsberäkning!B27</f>
        <v>21</v>
      </c>
      <c r="D11" s="89">
        <f t="shared" si="0"/>
        <v>0.5</v>
      </c>
      <c r="E11" s="34">
        <f>Uppsala_Studieavgiftsberäkning!D27</f>
        <v>20.026324728260867</v>
      </c>
      <c r="I11" s="6" t="s">
        <v>995</v>
      </c>
      <c r="J11" s="6">
        <v>12.7</v>
      </c>
      <c r="S11" s="6" t="s">
        <v>958</v>
      </c>
      <c r="T11" s="6">
        <v>43</v>
      </c>
      <c r="U11" s="6">
        <v>30</v>
      </c>
      <c r="V11" s="34">
        <f>B24</f>
        <v>411.77898600000003</v>
      </c>
      <c r="W11" s="34">
        <f>C24</f>
        <v>304.88194158442076</v>
      </c>
      <c r="X11" s="34">
        <f>E24</f>
        <v>172.48342148239192</v>
      </c>
      <c r="Z11" s="6">
        <f t="shared" si="1"/>
        <v>13</v>
      </c>
      <c r="AA11" s="6">
        <v>3.9</v>
      </c>
    </row>
    <row r="12" spans="1:27" s="6" customFormat="1" x14ac:dyDescent="0.2">
      <c r="A12" s="6" t="s">
        <v>966</v>
      </c>
      <c r="B12" s="34">
        <v>20</v>
      </c>
      <c r="C12" s="34">
        <f>Uppsala_Studieavgiftsberäkning!B29</f>
        <v>4</v>
      </c>
      <c r="D12" s="89">
        <f t="shared" si="0"/>
        <v>0.2</v>
      </c>
      <c r="E12" s="34">
        <f>Uppsala_Studieavgiftsberäkning!D29</f>
        <v>3.8145380434782608</v>
      </c>
      <c r="I12" s="6" t="s">
        <v>996</v>
      </c>
      <c r="J12" s="6">
        <v>6.3</v>
      </c>
      <c r="T12" s="34">
        <f>SUM(T8:T11)</f>
        <v>461</v>
      </c>
      <c r="U12" s="34">
        <f>SUM(U8:U11)</f>
        <v>182</v>
      </c>
      <c r="V12" s="34">
        <f>SUM(V8:V11)</f>
        <v>11783.512474239998</v>
      </c>
      <c r="W12" s="34">
        <f>SUM(W8:W11)</f>
        <v>7183.2364291586628</v>
      </c>
      <c r="X12" s="34">
        <f>SUM(X8:X11)</f>
        <v>3783.4742490705771</v>
      </c>
      <c r="Z12" s="6">
        <f>SUM(Z3:Z11)</f>
        <v>279</v>
      </c>
      <c r="AA12" s="6">
        <f>SUM(AA3:AA11)</f>
        <v>75.2</v>
      </c>
    </row>
    <row r="13" spans="1:27" s="6" customFormat="1" x14ac:dyDescent="0.2">
      <c r="A13" t="s">
        <v>954</v>
      </c>
      <c r="B13" s="34">
        <f>'U-forsk'!I43/1000</f>
        <v>142.19</v>
      </c>
      <c r="C13" s="34">
        <f>'U-forsk'!P43/1000</f>
        <v>117.48286018020005</v>
      </c>
      <c r="D13" s="89">
        <f t="shared" si="0"/>
        <v>0.82623855531472012</v>
      </c>
      <c r="E13" s="34">
        <f>'U-forsk'!L43</f>
        <v>117.10528568958598</v>
      </c>
      <c r="I13" s="6" t="s">
        <v>997</v>
      </c>
      <c r="J13" s="6">
        <v>11.3</v>
      </c>
      <c r="W13" s="6">
        <v>0.60644940552561799</v>
      </c>
    </row>
    <row r="14" spans="1:27" x14ac:dyDescent="0.2">
      <c r="A14" t="s">
        <v>956</v>
      </c>
      <c r="B14" s="34">
        <v>34</v>
      </c>
      <c r="C14" s="34">
        <v>17</v>
      </c>
      <c r="D14" s="89">
        <f t="shared" si="0"/>
        <v>0.5</v>
      </c>
      <c r="E14" s="34">
        <v>0</v>
      </c>
      <c r="I14" s="6" t="s">
        <v>998</v>
      </c>
      <c r="J14" s="6">
        <v>0.7</v>
      </c>
      <c r="K14" s="6"/>
    </row>
    <row r="15" spans="1:27" x14ac:dyDescent="0.2">
      <c r="A15" s="6" t="s">
        <v>955</v>
      </c>
      <c r="B15" s="34">
        <v>5.8</v>
      </c>
      <c r="C15" s="34">
        <v>2.9</v>
      </c>
      <c r="D15" s="89">
        <f t="shared" si="0"/>
        <v>0.5</v>
      </c>
      <c r="E15" s="34">
        <v>0</v>
      </c>
      <c r="H15" s="6"/>
      <c r="I15" t="s">
        <v>1020</v>
      </c>
      <c r="J15">
        <v>2.2000000000000002</v>
      </c>
      <c r="L15" s="6"/>
    </row>
    <row r="16" spans="1:27" s="6" customFormat="1" ht="15" x14ac:dyDescent="0.25">
      <c r="A16" s="88" t="s">
        <v>968</v>
      </c>
      <c r="B16" s="36">
        <f>SUM(B9:B15)</f>
        <v>733.00153323999984</v>
      </c>
      <c r="C16" s="36">
        <f>SUM(C9:C15)</f>
        <v>485.87690110020003</v>
      </c>
      <c r="D16" s="60">
        <f t="shared" si="0"/>
        <v>0.66285932438986306</v>
      </c>
      <c r="E16" s="36">
        <f>SUM(E9:E15)</f>
        <v>344.73532148908032</v>
      </c>
      <c r="F16" s="36">
        <f>SUM(F9:F15)</f>
        <v>45313.58</v>
      </c>
      <c r="I16" s="6" t="s">
        <v>1021</v>
      </c>
      <c r="J16" s="6">
        <v>4.8</v>
      </c>
      <c r="W16" s="6">
        <v>38157</v>
      </c>
    </row>
    <row r="17" spans="1:23" s="6" customFormat="1" ht="15" x14ac:dyDescent="0.25">
      <c r="A17" s="88" t="s">
        <v>955</v>
      </c>
      <c r="B17" s="36">
        <f>OFFSEKT_ovrigt!E9</f>
        <v>505.24982</v>
      </c>
      <c r="C17" s="36">
        <f>OFFSEKT_ovrigt!F9</f>
        <v>79.541043533279037</v>
      </c>
      <c r="D17" s="60">
        <f t="shared" si="0"/>
        <v>0.1574291377942085</v>
      </c>
      <c r="E17" s="36">
        <f>OFFSEKT_ovrigt!O9</f>
        <v>63.379324890384197</v>
      </c>
      <c r="F17" s="99">
        <f>OFFSEKT_ovrigt!J9</f>
        <v>3037.3</v>
      </c>
      <c r="H17"/>
      <c r="J17" s="6">
        <f>SUM(J11:J16)</f>
        <v>38</v>
      </c>
      <c r="K17"/>
      <c r="L17"/>
      <c r="V17" s="6">
        <f>V12/W16</f>
        <v>0.30881653364363021</v>
      </c>
      <c r="W17" s="6">
        <f>W12/W16</f>
        <v>0.18825474825480679</v>
      </c>
    </row>
    <row r="18" spans="1:23" ht="15" x14ac:dyDescent="0.25">
      <c r="A18" s="10" t="s">
        <v>969</v>
      </c>
      <c r="B18" s="36">
        <f>B6+B7+B8+B16+B17</f>
        <v>8150.9129172399998</v>
      </c>
      <c r="C18" s="36">
        <f>C6+C7+C8+C16+C17</f>
        <v>6289.9895284951281</v>
      </c>
      <c r="D18" s="60">
        <f t="shared" si="0"/>
        <v>0.77169141571751654</v>
      </c>
      <c r="E18" s="36">
        <f>E6+E7+E8+E16+E17</f>
        <v>2738.7669570212779</v>
      </c>
      <c r="F18" s="36">
        <f>F6+F7+F8+F16+F17</f>
        <v>129027.68</v>
      </c>
      <c r="H18" s="10"/>
      <c r="I18" s="6"/>
      <c r="J18" s="6"/>
      <c r="K18" s="6"/>
      <c r="L18" s="10"/>
    </row>
    <row r="19" spans="1:23" s="10" customFormat="1" ht="15" x14ac:dyDescent="0.25">
      <c r="A19"/>
      <c r="B19" s="34"/>
      <c r="C19" s="34"/>
      <c r="D19" s="89"/>
      <c r="E19" s="34"/>
      <c r="H19"/>
      <c r="I19" s="10" t="s">
        <v>985</v>
      </c>
      <c r="J19"/>
      <c r="K19" s="6"/>
      <c r="L19"/>
    </row>
    <row r="20" spans="1:23" ht="15" x14ac:dyDescent="0.25">
      <c r="A20" s="10" t="s">
        <v>502</v>
      </c>
      <c r="B20" s="36">
        <f>CSO_TOTALER!J9</f>
        <v>2923.5247940000004</v>
      </c>
      <c r="C20" s="36">
        <f>CSO_TOTALER!S9</f>
        <v>489.71281375533692</v>
      </c>
      <c r="D20" s="60">
        <f>C20/B20</f>
        <v>0.16750766566453715</v>
      </c>
      <c r="E20" s="36">
        <f>CSO_TOTALER!N9</f>
        <v>758.16339780469264</v>
      </c>
      <c r="F20" s="36">
        <f>CSO_TOTALER!M9</f>
        <v>1078.8575721984571</v>
      </c>
      <c r="H20" s="10"/>
      <c r="I20" s="58" t="s">
        <v>981</v>
      </c>
      <c r="J20" s="58">
        <v>8.1999999999999993</v>
      </c>
      <c r="K20" s="10"/>
    </row>
    <row r="21" spans="1:23" s="10" customFormat="1" ht="15" x14ac:dyDescent="0.25">
      <c r="A21"/>
      <c r="B21" s="34"/>
      <c r="C21" s="90"/>
      <c r="D21" s="60"/>
      <c r="E21" s="90"/>
      <c r="H21"/>
      <c r="I21" s="58" t="s">
        <v>982</v>
      </c>
      <c r="J21" s="58">
        <v>2.9</v>
      </c>
      <c r="K21"/>
    </row>
    <row r="22" spans="1:23" ht="15" x14ac:dyDescent="0.25">
      <c r="A22" s="10" t="s">
        <v>957</v>
      </c>
      <c r="B22" s="36">
        <f>'PRIVAT&gt;1mil'!G22</f>
        <v>297.29577699999999</v>
      </c>
      <c r="C22" s="36">
        <f>'PRIVAT&gt;1mil'!X22</f>
        <v>98.652145323776196</v>
      </c>
      <c r="D22" s="60">
        <f t="shared" ref="D22:D28" si="3">C22/B22</f>
        <v>0.33183164025830142</v>
      </c>
      <c r="E22" s="36">
        <f>'PRIVAT&gt;1mil'!Q22</f>
        <v>114.06047276221508</v>
      </c>
      <c r="F22" s="10">
        <f>'PRIVAT&gt;1mil'!J22</f>
        <v>15299</v>
      </c>
      <c r="H22" s="10"/>
      <c r="I22" s="58" t="s">
        <v>983</v>
      </c>
      <c r="J22" s="58">
        <v>0.3</v>
      </c>
      <c r="K22" s="10"/>
    </row>
    <row r="23" spans="1:23" s="10" customFormat="1" ht="15" x14ac:dyDescent="0.25">
      <c r="A23"/>
      <c r="B23" s="34"/>
      <c r="C23" s="90"/>
      <c r="D23" s="60"/>
      <c r="E23" s="90"/>
      <c r="H23"/>
      <c r="I23" s="58" t="s">
        <v>984</v>
      </c>
      <c r="J23" s="58">
        <v>0.4</v>
      </c>
      <c r="K23"/>
    </row>
    <row r="24" spans="1:23" ht="15" x14ac:dyDescent="0.25">
      <c r="A24" s="10" t="s">
        <v>958</v>
      </c>
      <c r="B24" s="36">
        <f>MISC!E32</f>
        <v>411.77898600000003</v>
      </c>
      <c r="C24" s="36">
        <f>MISC!F32</f>
        <v>304.88194158442076</v>
      </c>
      <c r="D24" s="60">
        <f t="shared" si="3"/>
        <v>0.74040189507004306</v>
      </c>
      <c r="E24" s="36">
        <f>MISC!M32</f>
        <v>172.48342148239192</v>
      </c>
      <c r="F24" s="10">
        <f>MISC!J32</f>
        <v>4638</v>
      </c>
      <c r="H24" s="10"/>
      <c r="I24" s="58"/>
      <c r="J24" s="58">
        <f>SUM(J20:J23)</f>
        <v>11.8</v>
      </c>
      <c r="K24" s="10"/>
    </row>
    <row r="25" spans="1:23" ht="15" x14ac:dyDescent="0.25">
      <c r="B25" s="34"/>
      <c r="C25" s="34"/>
      <c r="D25" s="60"/>
      <c r="E25" s="34"/>
      <c r="H25" s="10"/>
      <c r="I25" s="10"/>
      <c r="J25" s="100" t="s">
        <v>1025</v>
      </c>
      <c r="K25" s="100" t="s">
        <v>1024</v>
      </c>
      <c r="L25" s="10"/>
    </row>
    <row r="26" spans="1:23" s="10" customFormat="1" ht="15" x14ac:dyDescent="0.25">
      <c r="A26" s="10" t="s">
        <v>746</v>
      </c>
      <c r="B26" s="36">
        <f>B18+B20+B22+B24</f>
        <v>11783.512474239998</v>
      </c>
      <c r="C26" s="36">
        <f>C18+C20+C22+C24</f>
        <v>7183.2364291586628</v>
      </c>
      <c r="D26" s="60">
        <f t="shared" si="3"/>
        <v>0.60960061313313629</v>
      </c>
      <c r="E26" s="36">
        <f>E18+E20+E22+E24</f>
        <v>3783.4742490705771</v>
      </c>
      <c r="F26" s="36">
        <f>F18+F20+F22+F24</f>
        <v>150043.53757219843</v>
      </c>
      <c r="H26"/>
      <c r="I26" s="58" t="s">
        <v>976</v>
      </c>
      <c r="J26" s="90">
        <v>4837</v>
      </c>
      <c r="K26" s="90">
        <v>1627</v>
      </c>
      <c r="L26" s="58"/>
      <c r="M26" s="58"/>
    </row>
    <row r="27" spans="1:23" ht="15" x14ac:dyDescent="0.25">
      <c r="A27" t="s">
        <v>970</v>
      </c>
      <c r="B27" s="34">
        <f>B3</f>
        <v>4637</v>
      </c>
      <c r="C27" s="34">
        <f>C3</f>
        <v>4637</v>
      </c>
      <c r="D27" s="60">
        <f t="shared" si="3"/>
        <v>1</v>
      </c>
      <c r="E27" s="34">
        <f>E3</f>
        <v>1437</v>
      </c>
      <c r="F27" s="34">
        <f>F3</f>
        <v>3539</v>
      </c>
      <c r="I27" s="58" t="s">
        <v>986</v>
      </c>
      <c r="J27" s="90">
        <v>620</v>
      </c>
      <c r="K27" s="90">
        <v>442</v>
      </c>
      <c r="L27" s="58"/>
      <c r="M27" s="58"/>
    </row>
    <row r="28" spans="1:23" ht="15" x14ac:dyDescent="0.25">
      <c r="A28" s="10" t="s">
        <v>971</v>
      </c>
      <c r="B28" s="36">
        <f>B26-B27</f>
        <v>7146.5124742399985</v>
      </c>
      <c r="C28" s="36">
        <f t="shared" ref="C28:F28" si="4">C26-C27</f>
        <v>2546.2364291586628</v>
      </c>
      <c r="D28" s="60">
        <f t="shared" si="3"/>
        <v>0.35629076956581457</v>
      </c>
      <c r="E28" s="36">
        <f t="shared" si="4"/>
        <v>2346.4742490705771</v>
      </c>
      <c r="F28" s="36">
        <f t="shared" si="4"/>
        <v>146504.53757219843</v>
      </c>
      <c r="H28" s="58"/>
      <c r="I28" s="58" t="s">
        <v>899</v>
      </c>
      <c r="J28" s="90">
        <v>268</v>
      </c>
      <c r="K28" s="90">
        <v>262</v>
      </c>
      <c r="L28" s="58"/>
      <c r="M28" s="58"/>
    </row>
    <row r="29" spans="1:23" s="58" customFormat="1" ht="15" x14ac:dyDescent="0.25">
      <c r="D29" s="60"/>
      <c r="I29" s="58" t="s">
        <v>987</v>
      </c>
      <c r="J29" s="90">
        <v>486.25</v>
      </c>
      <c r="K29" s="90">
        <v>345.11</v>
      </c>
    </row>
    <row r="30" spans="1:23" s="58" customFormat="1" x14ac:dyDescent="0.2">
      <c r="A30" s="58" t="s">
        <v>788</v>
      </c>
      <c r="B30" s="58">
        <v>38157</v>
      </c>
      <c r="C30" s="58">
        <v>38157</v>
      </c>
      <c r="I30" s="58" t="s">
        <v>727</v>
      </c>
      <c r="J30" s="90">
        <v>80</v>
      </c>
      <c r="K30" s="90">
        <v>63.38</v>
      </c>
    </row>
    <row r="31" spans="1:23" s="58" customFormat="1" x14ac:dyDescent="0.2">
      <c r="A31" s="58" t="s">
        <v>972</v>
      </c>
      <c r="B31" s="97">
        <f>B26/B30</f>
        <v>0.30881653364363021</v>
      </c>
      <c r="C31" s="97">
        <f>C26/C30</f>
        <v>0.18825474825480679</v>
      </c>
      <c r="J31" s="90">
        <f>SUM(J26:J30)</f>
        <v>6291.25</v>
      </c>
      <c r="K31" s="90">
        <f>SUM(K26:K30)</f>
        <v>2739.4900000000002</v>
      </c>
    </row>
    <row r="32" spans="1:23" s="58" customFormat="1" x14ac:dyDescent="0.2"/>
    <row r="33" spans="8:11" s="58" customFormat="1" x14ac:dyDescent="0.2"/>
    <row r="34" spans="8:11" s="58" customFormat="1" x14ac:dyDescent="0.2">
      <c r="I34" s="58" t="s">
        <v>948</v>
      </c>
      <c r="J34" s="58" t="s">
        <v>791</v>
      </c>
      <c r="K34" s="58" t="s">
        <v>790</v>
      </c>
    </row>
    <row r="35" spans="8:11" s="58" customFormat="1" x14ac:dyDescent="0.2">
      <c r="I35" s="58" t="s">
        <v>668</v>
      </c>
      <c r="J35" s="90">
        <v>1852.5931350000001</v>
      </c>
      <c r="K35" s="90">
        <v>430.97943651572473</v>
      </c>
    </row>
    <row r="36" spans="8:11" s="58" customFormat="1" x14ac:dyDescent="0.2">
      <c r="I36" s="58" t="s">
        <v>401</v>
      </c>
      <c r="J36" s="90">
        <v>72.270374999999987</v>
      </c>
      <c r="K36" s="90">
        <v>13.657804211259071</v>
      </c>
    </row>
    <row r="37" spans="8:11" s="58" customFormat="1" x14ac:dyDescent="0.2">
      <c r="I37" s="58" t="s">
        <v>672</v>
      </c>
      <c r="J37" s="90">
        <v>276.91284200000007</v>
      </c>
      <c r="K37" s="90">
        <v>74.709756684897826</v>
      </c>
    </row>
    <row r="38" spans="8:11" s="58" customFormat="1" x14ac:dyDescent="0.2">
      <c r="I38" s="58" t="s">
        <v>669</v>
      </c>
      <c r="J38" s="90">
        <v>165.69461200000001</v>
      </c>
      <c r="K38" s="90">
        <v>79.009118981389506</v>
      </c>
    </row>
    <row r="39" spans="8:11" s="58" customFormat="1" x14ac:dyDescent="0.2">
      <c r="H39"/>
      <c r="I39" s="58" t="s">
        <v>671</v>
      </c>
      <c r="J39" s="90">
        <v>556</v>
      </c>
      <c r="K39" s="90">
        <v>160</v>
      </c>
    </row>
    <row r="40" spans="8:11" x14ac:dyDescent="0.2">
      <c r="I40" t="s">
        <v>674</v>
      </c>
      <c r="J40" s="34">
        <f>SUM(J35:J39)</f>
        <v>2923.4709640000001</v>
      </c>
      <c r="K40" s="34">
        <f>SUM(K35:K39)</f>
        <v>758.35611639327112</v>
      </c>
    </row>
    <row r="41" spans="8:11" x14ac:dyDescent="0.2">
      <c r="I41" s="58" t="s">
        <v>670</v>
      </c>
      <c r="J41" s="90">
        <v>40.807814999999984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G14" sqref="G14"/>
    </sheetView>
  </sheetViews>
  <sheetFormatPr defaultRowHeight="14.25" x14ac:dyDescent="0.2"/>
  <cols>
    <col min="1" max="1" width="20.75" customWidth="1"/>
    <col min="2" max="2" width="13" customWidth="1"/>
    <col min="3" max="3" width="12" customWidth="1"/>
    <col min="4" max="4" width="11" customWidth="1"/>
    <col min="5" max="5" width="10.75" customWidth="1"/>
  </cols>
  <sheetData>
    <row r="1" spans="1:5" ht="15" x14ac:dyDescent="0.25">
      <c r="A1" s="10" t="s">
        <v>811</v>
      </c>
    </row>
    <row r="2" spans="1:5" x14ac:dyDescent="0.2">
      <c r="A2" t="s">
        <v>812</v>
      </c>
    </row>
    <row r="4" spans="1:5" x14ac:dyDescent="0.2">
      <c r="A4" t="s">
        <v>832</v>
      </c>
    </row>
    <row r="5" spans="1:5" x14ac:dyDescent="0.2">
      <c r="A5" t="s">
        <v>813</v>
      </c>
    </row>
    <row r="6" spans="1:5" s="6" customFormat="1" x14ac:dyDescent="0.2">
      <c r="A6" s="6" t="s">
        <v>819</v>
      </c>
    </row>
    <row r="7" spans="1:5" s="6" customFormat="1" x14ac:dyDescent="0.2"/>
    <row r="8" spans="1:5" s="6" customFormat="1" x14ac:dyDescent="0.2">
      <c r="A8" s="6" t="s">
        <v>818</v>
      </c>
      <c r="B8" s="6">
        <v>0.81299999999999994</v>
      </c>
    </row>
    <row r="9" spans="1:5" s="6" customFormat="1" x14ac:dyDescent="0.2">
      <c r="A9" s="6" t="s">
        <v>817</v>
      </c>
      <c r="B9" s="6">
        <v>8.6494</v>
      </c>
    </row>
    <row r="10" spans="1:5" s="6" customFormat="1" x14ac:dyDescent="0.2"/>
    <row r="11" spans="1:5" x14ac:dyDescent="0.2">
      <c r="B11" t="s">
        <v>815</v>
      </c>
      <c r="C11" t="s">
        <v>816</v>
      </c>
      <c r="D11" t="s">
        <v>822</v>
      </c>
      <c r="E11" t="s">
        <v>823</v>
      </c>
    </row>
    <row r="12" spans="1:5" x14ac:dyDescent="0.2">
      <c r="A12" t="s">
        <v>814</v>
      </c>
      <c r="B12">
        <v>56524164</v>
      </c>
      <c r="C12">
        <v>48811902</v>
      </c>
      <c r="D12">
        <f>B12-C12</f>
        <v>7712262</v>
      </c>
      <c r="E12">
        <f>$B$9*D12/$B$8</f>
        <v>82049740.397047982</v>
      </c>
    </row>
    <row r="13" spans="1:5" x14ac:dyDescent="0.2">
      <c r="A13" t="s">
        <v>820</v>
      </c>
      <c r="B13">
        <v>35607361</v>
      </c>
      <c r="C13">
        <v>31237250</v>
      </c>
      <c r="D13" s="6">
        <f t="shared" ref="D13:D14" si="0">B13-C13</f>
        <v>4370111</v>
      </c>
      <c r="E13" s="6">
        <f t="shared" ref="E13:E14" si="1">$B$9*D13/$B$8</f>
        <v>46493035.772939734</v>
      </c>
    </row>
    <row r="14" spans="1:5" x14ac:dyDescent="0.2">
      <c r="A14" t="s">
        <v>821</v>
      </c>
      <c r="B14">
        <v>56343872</v>
      </c>
      <c r="C14">
        <v>49525282</v>
      </c>
      <c r="D14" s="6">
        <f t="shared" si="0"/>
        <v>6818590</v>
      </c>
      <c r="E14" s="6">
        <f t="shared" si="1"/>
        <v>72542081.606396064</v>
      </c>
    </row>
    <row r="15" spans="1:5" x14ac:dyDescent="0.2">
      <c r="A15" t="s">
        <v>824</v>
      </c>
      <c r="E15">
        <f>E13/E14</f>
        <v>0.64091124411351919</v>
      </c>
    </row>
    <row r="17" spans="1:2" x14ac:dyDescent="0.2">
      <c r="A17" t="s">
        <v>833</v>
      </c>
    </row>
    <row r="18" spans="1:2" x14ac:dyDescent="0.2">
      <c r="A18" t="s">
        <v>826</v>
      </c>
      <c r="B18">
        <v>15</v>
      </c>
    </row>
    <row r="19" spans="1:2" x14ac:dyDescent="0.2">
      <c r="A19" t="s">
        <v>827</v>
      </c>
      <c r="B19">
        <v>41</v>
      </c>
    </row>
    <row r="20" spans="1:2" x14ac:dyDescent="0.2">
      <c r="A20" t="s">
        <v>700</v>
      </c>
      <c r="B20">
        <f>B18+B19</f>
        <v>56</v>
      </c>
    </row>
    <row r="21" spans="1:2" x14ac:dyDescent="0.2">
      <c r="A21" t="s">
        <v>828</v>
      </c>
      <c r="B21">
        <f>E13/B20</f>
        <v>830232.78165963816</v>
      </c>
    </row>
    <row r="23" spans="1:2" x14ac:dyDescent="0.2">
      <c r="A23" t="s">
        <v>829</v>
      </c>
      <c r="B23">
        <v>25085000</v>
      </c>
    </row>
    <row r="24" spans="1:2" x14ac:dyDescent="0.2">
      <c r="A24" t="s">
        <v>830</v>
      </c>
      <c r="B24">
        <f>B23*E15</f>
        <v>16077258.558587629</v>
      </c>
    </row>
    <row r="25" spans="1:2" x14ac:dyDescent="0.2">
      <c r="A25" t="s">
        <v>825</v>
      </c>
      <c r="B25">
        <f>B24/B21</f>
        <v>19.364759997128921</v>
      </c>
    </row>
    <row r="27" spans="1:2" s="96" customFormat="1" x14ac:dyDescent="0.2">
      <c r="A27" s="96" t="s">
        <v>1015</v>
      </c>
    </row>
    <row r="28" spans="1:2" s="96" customFormat="1" x14ac:dyDescent="0.2">
      <c r="A28" s="6" t="s">
        <v>1014</v>
      </c>
    </row>
    <row r="29" spans="1:2" s="96" customFormat="1" x14ac:dyDescent="0.2">
      <c r="A29" s="6" t="s">
        <v>1016</v>
      </c>
    </row>
    <row r="30" spans="1:2" s="96" customFormat="1" x14ac:dyDescent="0.2"/>
    <row r="32" spans="1:2" s="96" customFormat="1" x14ac:dyDescent="0.2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2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25" x14ac:dyDescent="0.2"/>
  <cols>
    <col min="1" max="1" width="38" style="2" customWidth="1"/>
    <col min="2" max="2" width="10.125" style="2" bestFit="1" customWidth="1"/>
    <col min="3" max="3" width="9.125" style="2" bestFit="1" customWidth="1"/>
    <col min="4" max="4" width="12.75" style="2" bestFit="1" customWidth="1"/>
    <col min="5" max="6" width="8.375" style="5" customWidth="1"/>
    <col min="7" max="7" width="11.75" style="5" bestFit="1" customWidth="1"/>
    <col min="8" max="8" width="11.625" style="2" customWidth="1"/>
    <col min="9" max="12" width="9.125" style="5" bestFit="1" customWidth="1"/>
    <col min="13" max="13" width="11.75" style="5" bestFit="1" customWidth="1"/>
    <col min="14" max="15" width="11.625" style="2" customWidth="1"/>
    <col min="16" max="18" width="9.125" style="2" bestFit="1" customWidth="1"/>
    <col min="19" max="19" width="9.625" style="2" bestFit="1" customWidth="1"/>
    <col min="20" max="20" width="9.125" style="2" bestFit="1" customWidth="1"/>
    <col min="21" max="16384" width="9" style="2"/>
  </cols>
  <sheetData>
    <row r="1" spans="1:22" ht="128.25" x14ac:dyDescent="0.2">
      <c r="A1" s="3" t="s">
        <v>404</v>
      </c>
      <c r="B1" s="3" t="s">
        <v>1</v>
      </c>
      <c r="C1" s="3" t="s">
        <v>368</v>
      </c>
      <c r="D1" s="3" t="s">
        <v>315</v>
      </c>
      <c r="E1" s="61" t="s">
        <v>342</v>
      </c>
      <c r="F1" s="61" t="s">
        <v>694</v>
      </c>
      <c r="G1" s="61" t="s">
        <v>343</v>
      </c>
      <c r="H1" s="123" t="s">
        <v>693</v>
      </c>
      <c r="I1" s="61" t="s">
        <v>339</v>
      </c>
      <c r="J1" s="61" t="s">
        <v>340</v>
      </c>
      <c r="K1" s="61" t="s">
        <v>19</v>
      </c>
      <c r="L1" s="61" t="s">
        <v>932</v>
      </c>
      <c r="M1" s="61" t="s">
        <v>21</v>
      </c>
      <c r="N1" s="3" t="s">
        <v>928</v>
      </c>
      <c r="O1" s="3" t="s">
        <v>927</v>
      </c>
      <c r="P1" s="3" t="s">
        <v>345</v>
      </c>
      <c r="Q1" s="3" t="s">
        <v>346</v>
      </c>
      <c r="R1" s="3" t="s">
        <v>929</v>
      </c>
      <c r="S1" s="3" t="s">
        <v>408</v>
      </c>
      <c r="T1" s="3" t="s">
        <v>409</v>
      </c>
      <c r="U1" s="3" t="s">
        <v>448</v>
      </c>
    </row>
    <row r="2" spans="1:22" x14ac:dyDescent="0.2">
      <c r="A2" s="2" t="s">
        <v>498</v>
      </c>
      <c r="B2" s="2" t="s">
        <v>476</v>
      </c>
      <c r="C2" s="2">
        <f>IF(E2&gt;=1,1,0)</f>
        <v>1</v>
      </c>
      <c r="D2" s="107">
        <f>22.149*9</f>
        <v>199.34100000000001</v>
      </c>
      <c r="E2" s="5">
        <v>86.160600000000002</v>
      </c>
      <c r="F2" s="5">
        <f>E2</f>
        <v>86.160600000000002</v>
      </c>
      <c r="G2" s="76">
        <f>E2/D2</f>
        <v>0.43222718858639214</v>
      </c>
      <c r="H2" s="31">
        <f>F2/(D2-(E2-F2))</f>
        <v>0.43222718858639214</v>
      </c>
      <c r="I2" s="5">
        <v>153</v>
      </c>
      <c r="J2" s="5">
        <v>70</v>
      </c>
      <c r="K2" s="5">
        <v>0.46</v>
      </c>
      <c r="L2" s="108">
        <f>F2/E2</f>
        <v>1</v>
      </c>
      <c r="M2" s="25">
        <f>H2*J2</f>
        <v>30.255903201047449</v>
      </c>
      <c r="P2" s="2">
        <f>(11.003*9)*J2/I2</f>
        <v>45.3064705882353</v>
      </c>
      <c r="S2" s="2">
        <f>SUM(P2:Q2)*G2</f>
        <v>19.582688407125008</v>
      </c>
      <c r="U2" s="49" t="s">
        <v>921</v>
      </c>
    </row>
    <row r="3" spans="1:22" x14ac:dyDescent="0.2">
      <c r="A3" s="18" t="s">
        <v>415</v>
      </c>
      <c r="B3" s="2" t="s">
        <v>495</v>
      </c>
      <c r="C3" s="2">
        <f>IF(E3&gt;=1,1,0)</f>
        <v>1</v>
      </c>
      <c r="D3" s="107">
        <f>E3/0.91</f>
        <v>66.071551648351644</v>
      </c>
      <c r="E3" s="11">
        <v>60.125112000000001</v>
      </c>
      <c r="F3" s="11">
        <f>E3-0.6*25.6</f>
        <v>44.765112000000002</v>
      </c>
      <c r="G3" s="76">
        <f>E3/D3</f>
        <v>0.91</v>
      </c>
      <c r="H3" s="31">
        <f>F3/(D3-(E3-F3))</f>
        <v>0.88273993882920498</v>
      </c>
      <c r="I3" s="5">
        <v>43</v>
      </c>
      <c r="J3" s="5">
        <v>38</v>
      </c>
      <c r="K3" s="5">
        <v>0.37</v>
      </c>
      <c r="L3" s="108">
        <f>F3/E3</f>
        <v>0.7445327004130986</v>
      </c>
      <c r="M3" s="25">
        <f>H3*J3</f>
        <v>33.544117675509789</v>
      </c>
      <c r="S3" s="2">
        <f>SUM(P3:Q3)*G3</f>
        <v>0</v>
      </c>
      <c r="U3" s="2" t="s">
        <v>922</v>
      </c>
    </row>
    <row r="4" spans="1:22" x14ac:dyDescent="0.2">
      <c r="A4" s="2" t="s">
        <v>407</v>
      </c>
      <c r="B4" s="2" t="s">
        <v>495</v>
      </c>
      <c r="C4" s="2">
        <f>IF(E4&gt;=1,1,0)</f>
        <v>1</v>
      </c>
      <c r="D4" s="107">
        <v>107.885149</v>
      </c>
      <c r="E4" s="5">
        <v>45.963999999999999</v>
      </c>
      <c r="F4" s="5">
        <f>E4-36.667*0.5</f>
        <v>27.630499999999998</v>
      </c>
      <c r="G4" s="76">
        <f>E4/D4</f>
        <v>0.42604566454276299</v>
      </c>
      <c r="H4" s="31">
        <f>F4/(D4-(E4-F4))</f>
        <v>0.30854261544642242</v>
      </c>
      <c r="I4" s="5">
        <v>75</v>
      </c>
      <c r="J4" s="5">
        <v>58</v>
      </c>
      <c r="K4" s="5">
        <v>0.52</v>
      </c>
      <c r="L4" s="108">
        <f>F4/E4</f>
        <v>0.60113349577930553</v>
      </c>
      <c r="M4" s="25">
        <f>H4*J4</f>
        <v>17.8954716958925</v>
      </c>
      <c r="P4" s="2">
        <v>29.428114999999998</v>
      </c>
      <c r="Q4" s="2">
        <v>0</v>
      </c>
      <c r="S4" s="2">
        <f>SUM(P4:Q4)*G4</f>
        <v>12.53772081141585</v>
      </c>
      <c r="T4" s="2">
        <v>0</v>
      </c>
      <c r="U4" s="2" t="s">
        <v>923</v>
      </c>
    </row>
    <row r="5" spans="1:22" x14ac:dyDescent="0.2">
      <c r="A5" s="2" t="s">
        <v>406</v>
      </c>
      <c r="B5" s="2" t="s">
        <v>495</v>
      </c>
      <c r="C5" s="2">
        <f>IF(E5&gt;=1,1,0)</f>
        <v>1</v>
      </c>
      <c r="D5" s="107">
        <v>96</v>
      </c>
      <c r="E5" s="11">
        <v>36.664003000000001</v>
      </c>
      <c r="F5" s="11">
        <f>25+0.08*(E5-25)</f>
        <v>25.933120240000001</v>
      </c>
      <c r="G5" s="76">
        <f>E5/D5</f>
        <v>0.38191669791666666</v>
      </c>
      <c r="H5" s="31">
        <f>F5/(D5-(E5-F5))</f>
        <v>0.30413262244768141</v>
      </c>
      <c r="I5" s="5">
        <v>64</v>
      </c>
      <c r="J5" s="5">
        <v>64</v>
      </c>
      <c r="L5" s="108">
        <f>F5/E5</f>
        <v>0.70731829909570976</v>
      </c>
      <c r="M5" s="25">
        <f>H5*J5</f>
        <v>19.46448783665161</v>
      </c>
      <c r="S5" s="2">
        <f>SUM(P5:Q5)*G5</f>
        <v>0</v>
      </c>
      <c r="U5" s="2" t="s">
        <v>924</v>
      </c>
    </row>
    <row r="6" spans="1:22" x14ac:dyDescent="0.2">
      <c r="A6" s="2" t="s">
        <v>993</v>
      </c>
      <c r="B6" s="2" t="s">
        <v>476</v>
      </c>
      <c r="C6" s="2">
        <v>1</v>
      </c>
      <c r="D6" s="107"/>
      <c r="E6" s="11">
        <v>25.085000000000001</v>
      </c>
      <c r="F6" s="11">
        <v>25.085000000000001</v>
      </c>
      <c r="G6" s="76"/>
      <c r="H6" s="31"/>
      <c r="I6" s="5">
        <v>41</v>
      </c>
      <c r="J6" s="5">
        <v>41</v>
      </c>
      <c r="L6" s="108"/>
      <c r="M6" s="25">
        <v>19</v>
      </c>
      <c r="U6" s="2" t="s">
        <v>994</v>
      </c>
    </row>
    <row r="7" spans="1:22" x14ac:dyDescent="0.2">
      <c r="A7" s="15" t="s">
        <v>357</v>
      </c>
      <c r="B7" s="16" t="s">
        <v>679</v>
      </c>
      <c r="C7" s="2">
        <f t="shared" ref="C7:C31" si="0">IF(E7&gt;=1,1,0)</f>
        <v>1</v>
      </c>
      <c r="D7" s="126">
        <v>40</v>
      </c>
      <c r="E7" s="19">
        <v>23.68824</v>
      </c>
      <c r="F7" s="19">
        <f>0.5*E7</f>
        <v>11.84412</v>
      </c>
      <c r="G7" s="76">
        <f>E7/D7</f>
        <v>0.59220600000000001</v>
      </c>
      <c r="H7" s="31">
        <f>F7/(D7-(E7-F7))</f>
        <v>0.42066239804971467</v>
      </c>
      <c r="I7" s="119">
        <v>11</v>
      </c>
      <c r="J7" s="119">
        <v>11</v>
      </c>
      <c r="K7" s="17"/>
      <c r="L7" s="108">
        <f t="shared" ref="L7:L32" si="1">F7/E7</f>
        <v>0.5</v>
      </c>
      <c r="M7" s="25">
        <f>H7*J7</f>
        <v>4.6272863785468612</v>
      </c>
      <c r="P7" s="16"/>
      <c r="Q7" s="16"/>
      <c r="R7" s="16"/>
      <c r="S7" s="16">
        <f>SUM(P7:Q7)*G7</f>
        <v>0</v>
      </c>
      <c r="T7" s="16">
        <v>0</v>
      </c>
      <c r="U7" s="2" t="s">
        <v>925</v>
      </c>
      <c r="V7" s="16"/>
    </row>
    <row r="8" spans="1:22" x14ac:dyDescent="0.2">
      <c r="A8" s="18" t="s">
        <v>501</v>
      </c>
      <c r="B8" s="2" t="s">
        <v>784</v>
      </c>
      <c r="C8" s="2">
        <f t="shared" si="0"/>
        <v>1</v>
      </c>
      <c r="D8" s="107">
        <v>20.667999999999999</v>
      </c>
      <c r="E8" s="11">
        <v>14.425000000000001</v>
      </c>
      <c r="F8" s="11">
        <f>5.95*0.08+8.475</f>
        <v>8.9510000000000005</v>
      </c>
      <c r="G8" s="76">
        <f>E8/D8</f>
        <v>0.69793884265531259</v>
      </c>
      <c r="H8" s="31">
        <f>F8/(D8-(E8-F8))</f>
        <v>0.58911412399631435</v>
      </c>
      <c r="I8" s="5">
        <v>16</v>
      </c>
      <c r="J8" s="5">
        <v>16</v>
      </c>
      <c r="K8" s="5">
        <v>0.5</v>
      </c>
      <c r="L8" s="108">
        <f t="shared" si="1"/>
        <v>0.62051993067590994</v>
      </c>
      <c r="M8" s="25">
        <f>H8*J8</f>
        <v>9.4258259839410297</v>
      </c>
      <c r="P8" s="2">
        <v>8.109</v>
      </c>
      <c r="Q8" s="2">
        <v>4.343</v>
      </c>
      <c r="S8" s="2">
        <f>SUM(P8:Q8)*H8</f>
        <v>7.3356490720021066</v>
      </c>
      <c r="U8" s="124" t="s">
        <v>831</v>
      </c>
    </row>
    <row r="9" spans="1:22" x14ac:dyDescent="0.2">
      <c r="A9" s="18" t="s">
        <v>511</v>
      </c>
      <c r="B9" s="2" t="s">
        <v>678</v>
      </c>
      <c r="C9" s="2">
        <f t="shared" si="0"/>
        <v>1</v>
      </c>
      <c r="D9" s="107">
        <v>51.936</v>
      </c>
      <c r="E9" s="11">
        <v>13.9392</v>
      </c>
      <c r="F9" s="11">
        <f>E9</f>
        <v>13.9392</v>
      </c>
      <c r="G9" s="76">
        <f>E9/D9</f>
        <v>0.26839186691312383</v>
      </c>
      <c r="H9" s="31">
        <f>F9/(D9-(E9-F9))</f>
        <v>0.26839186691312383</v>
      </c>
      <c r="I9" s="5">
        <v>51</v>
      </c>
      <c r="J9" s="5">
        <v>51</v>
      </c>
      <c r="K9" s="5">
        <f>28/51</f>
        <v>0.5490196078431373</v>
      </c>
      <c r="L9" s="108">
        <f t="shared" si="1"/>
        <v>1</v>
      </c>
      <c r="M9" s="25">
        <f>H9*J9</f>
        <v>13.687985212569316</v>
      </c>
      <c r="P9" s="2">
        <v>31.585000000000001</v>
      </c>
      <c r="S9" s="2">
        <f t="shared" ref="S9:S22" si="2">SUM(P9:Q9)*G9</f>
        <v>8.477157116451016</v>
      </c>
      <c r="U9" s="2" t="s">
        <v>926</v>
      </c>
    </row>
    <row r="10" spans="1:22" x14ac:dyDescent="0.2">
      <c r="A10" s="18" t="s">
        <v>551</v>
      </c>
      <c r="B10" s="16" t="s">
        <v>679</v>
      </c>
      <c r="C10" s="2">
        <f t="shared" si="0"/>
        <v>1</v>
      </c>
      <c r="D10" s="107">
        <v>604</v>
      </c>
      <c r="E10" s="11">
        <v>11.844787999999999</v>
      </c>
      <c r="F10" s="11">
        <f>G10*R10</f>
        <v>1.4670552844206211</v>
      </c>
      <c r="G10" s="76">
        <f>E10/D10</f>
        <v>1.9610576158940397E-2</v>
      </c>
      <c r="H10" s="31">
        <f>F10/(D10-(E10-F10))</f>
        <v>2.4713616137275302E-3</v>
      </c>
      <c r="I10" s="5">
        <v>543</v>
      </c>
      <c r="J10" s="5">
        <f>I10-390</f>
        <v>153</v>
      </c>
      <c r="K10" s="5">
        <v>0.46</v>
      </c>
      <c r="L10" s="108">
        <f t="shared" si="1"/>
        <v>0.12385660971058504</v>
      </c>
      <c r="M10" s="25">
        <f>H10*J10</f>
        <v>0.37811832690031211</v>
      </c>
      <c r="N10" s="2">
        <f>O10+283.2</f>
        <v>548.70000000000005</v>
      </c>
      <c r="O10" s="2">
        <v>265.5</v>
      </c>
      <c r="R10" s="2">
        <f>O10*(J10/I10)</f>
        <v>74.809392265193367</v>
      </c>
      <c r="S10" s="2">
        <f t="shared" si="2"/>
        <v>0</v>
      </c>
      <c r="U10" s="2" t="s">
        <v>930</v>
      </c>
    </row>
    <row r="11" spans="1:22" x14ac:dyDescent="0.2">
      <c r="A11" s="18" t="s">
        <v>416</v>
      </c>
      <c r="B11" s="2" t="s">
        <v>495</v>
      </c>
      <c r="C11" s="2">
        <f t="shared" si="0"/>
        <v>1</v>
      </c>
      <c r="D11" s="107"/>
      <c r="E11" s="11">
        <v>11.606999999999999</v>
      </c>
      <c r="F11" s="11">
        <f>E11</f>
        <v>11.606999999999999</v>
      </c>
      <c r="G11" s="76"/>
      <c r="H11" s="31"/>
      <c r="I11" s="5">
        <v>10</v>
      </c>
      <c r="J11" s="5">
        <v>10</v>
      </c>
      <c r="L11" s="108">
        <f t="shared" si="1"/>
        <v>1</v>
      </c>
      <c r="M11" s="25">
        <f>F11*0.548910259620329/0.787661753771493</f>
        <v>8.0887530121990601</v>
      </c>
      <c r="S11" s="2">
        <f t="shared" si="2"/>
        <v>0</v>
      </c>
      <c r="U11" s="2" t="s">
        <v>931</v>
      </c>
    </row>
    <row r="12" spans="1:22" x14ac:dyDescent="0.2">
      <c r="A12" s="18" t="s">
        <v>417</v>
      </c>
      <c r="B12" s="2" t="s">
        <v>946</v>
      </c>
      <c r="C12" s="2">
        <f t="shared" si="0"/>
        <v>1</v>
      </c>
      <c r="D12" s="107">
        <v>245.84899999999999</v>
      </c>
      <c r="E12" s="11">
        <v>11.278414</v>
      </c>
      <c r="F12" s="11">
        <f>E12*0.5</f>
        <v>5.6392069999999999</v>
      </c>
      <c r="G12" s="76">
        <f>E12/D12</f>
        <v>4.5875370654344744E-2</v>
      </c>
      <c r="H12" s="31">
        <f>F12/(D12-(E12-F12))</f>
        <v>2.3476174428908484E-2</v>
      </c>
      <c r="I12" s="5">
        <v>160</v>
      </c>
      <c r="J12" s="5">
        <v>160</v>
      </c>
      <c r="L12" s="108">
        <f t="shared" si="1"/>
        <v>0.5</v>
      </c>
      <c r="M12" s="25">
        <f>H12*J12</f>
        <v>3.7561879086253573</v>
      </c>
      <c r="P12" s="2">
        <v>107.432</v>
      </c>
      <c r="Q12" s="2">
        <v>0</v>
      </c>
      <c r="S12" s="2">
        <f t="shared" si="2"/>
        <v>4.9284828201375648</v>
      </c>
      <c r="T12" s="2">
        <v>0</v>
      </c>
      <c r="U12" s="2" t="s">
        <v>876</v>
      </c>
    </row>
    <row r="13" spans="1:22" x14ac:dyDescent="0.2">
      <c r="A13" s="18" t="s">
        <v>431</v>
      </c>
      <c r="B13" s="2" t="s">
        <v>495</v>
      </c>
      <c r="C13" s="2">
        <f t="shared" si="0"/>
        <v>1</v>
      </c>
      <c r="D13" s="107"/>
      <c r="E13" s="11">
        <v>11.115399999999999</v>
      </c>
      <c r="F13" s="11">
        <f>E13*0.5</f>
        <v>5.5576999999999996</v>
      </c>
      <c r="G13" s="76"/>
      <c r="H13" s="31"/>
      <c r="L13" s="108">
        <f t="shared" si="1"/>
        <v>0.5</v>
      </c>
      <c r="M13" s="25">
        <f>H13*J13</f>
        <v>0</v>
      </c>
      <c r="S13" s="2">
        <f t="shared" si="2"/>
        <v>0</v>
      </c>
      <c r="U13" s="125" t="s">
        <v>933</v>
      </c>
    </row>
    <row r="14" spans="1:22" x14ac:dyDescent="0.2">
      <c r="A14" s="18" t="s">
        <v>418</v>
      </c>
      <c r="B14" s="2" t="s">
        <v>495</v>
      </c>
      <c r="C14" s="2">
        <f t="shared" si="0"/>
        <v>1</v>
      </c>
      <c r="D14" s="107">
        <v>25.745031999999998</v>
      </c>
      <c r="E14" s="11">
        <v>10</v>
      </c>
      <c r="F14" s="11">
        <f>E14</f>
        <v>10</v>
      </c>
      <c r="G14" s="76">
        <f>E14/D14</f>
        <v>0.38842445408496679</v>
      </c>
      <c r="H14" s="31">
        <f>F14/(D14-(E14-F14))</f>
        <v>0.38842445408496679</v>
      </c>
      <c r="I14" s="5">
        <v>7</v>
      </c>
      <c r="J14" s="5">
        <v>7</v>
      </c>
      <c r="K14" s="5">
        <f>5/7</f>
        <v>0.7142857142857143</v>
      </c>
      <c r="L14" s="108">
        <f t="shared" si="1"/>
        <v>1</v>
      </c>
      <c r="M14" s="25">
        <f>H14*J14</f>
        <v>2.7189711785947677</v>
      </c>
      <c r="P14" s="2">
        <f>1.912736+5.93633</f>
        <v>7.8490659999999997</v>
      </c>
      <c r="Q14" s="2">
        <f>1.799018+1.65611</f>
        <v>3.4551280000000002</v>
      </c>
      <c r="S14" s="2">
        <f t="shared" si="2"/>
        <v>4.3908253833205571</v>
      </c>
      <c r="U14" s="2" t="s">
        <v>934</v>
      </c>
    </row>
    <row r="15" spans="1:22" x14ac:dyDescent="0.2">
      <c r="A15" s="18" t="s">
        <v>419</v>
      </c>
      <c r="B15" s="2" t="s">
        <v>784</v>
      </c>
      <c r="C15" s="2">
        <f t="shared" si="0"/>
        <v>1</v>
      </c>
      <c r="D15" s="107"/>
      <c r="E15" s="11">
        <v>7.0549999999999997</v>
      </c>
      <c r="F15" s="11">
        <f>E15</f>
        <v>7.0549999999999997</v>
      </c>
      <c r="G15" s="76"/>
      <c r="H15" s="31"/>
      <c r="L15" s="108">
        <f t="shared" si="1"/>
        <v>1</v>
      </c>
      <c r="M15" s="25">
        <v>2.1</v>
      </c>
      <c r="S15" s="2">
        <f t="shared" si="2"/>
        <v>0</v>
      </c>
      <c r="U15" s="2" t="s">
        <v>894</v>
      </c>
    </row>
    <row r="16" spans="1:22" x14ac:dyDescent="0.2">
      <c r="A16" s="18" t="s">
        <v>420</v>
      </c>
      <c r="B16" s="2" t="s">
        <v>946</v>
      </c>
      <c r="C16" s="2">
        <f t="shared" si="0"/>
        <v>1</v>
      </c>
      <c r="D16" s="107"/>
      <c r="E16" s="11">
        <v>6.7004000000000001</v>
      </c>
      <c r="F16" s="11">
        <f>E16*0.5</f>
        <v>3.3502000000000001</v>
      </c>
      <c r="G16" s="76"/>
      <c r="H16" s="31"/>
      <c r="L16" s="108">
        <f t="shared" si="1"/>
        <v>0.5</v>
      </c>
      <c r="M16" s="25">
        <f t="shared" ref="M16:M31" si="3">H16*J16</f>
        <v>0</v>
      </c>
      <c r="S16" s="2">
        <f t="shared" si="2"/>
        <v>0</v>
      </c>
      <c r="U16" s="2" t="s">
        <v>935</v>
      </c>
    </row>
    <row r="17" spans="1:22" x14ac:dyDescent="0.2">
      <c r="A17" s="15" t="s">
        <v>359</v>
      </c>
      <c r="B17" s="16" t="s">
        <v>678</v>
      </c>
      <c r="C17" s="2">
        <f t="shared" si="0"/>
        <v>1</v>
      </c>
      <c r="D17" s="126">
        <v>235.58699999999999</v>
      </c>
      <c r="E17" s="19">
        <v>4.9003930000000002</v>
      </c>
      <c r="F17" s="11">
        <f>E17*0.5</f>
        <v>2.4501965000000001</v>
      </c>
      <c r="G17" s="76">
        <f>E17/D17</f>
        <v>2.0800778480985795E-2</v>
      </c>
      <c r="H17" s="31">
        <f>F17/(D17-(E17-F17))</f>
        <v>1.0509694150456174E-2</v>
      </c>
      <c r="I17" s="17">
        <v>215</v>
      </c>
      <c r="J17" s="17">
        <f>215-7</f>
        <v>208</v>
      </c>
      <c r="K17" s="17">
        <v>0.49</v>
      </c>
      <c r="L17" s="108">
        <f t="shared" si="1"/>
        <v>0.5</v>
      </c>
      <c r="M17" s="25">
        <f t="shared" si="3"/>
        <v>2.1860163832948842</v>
      </c>
      <c r="P17" s="16">
        <f>(82.295/I17)*J17</f>
        <v>79.615627906976741</v>
      </c>
      <c r="Q17" s="16">
        <f>(42.527/I17)*J17</f>
        <v>41.142400000000002</v>
      </c>
      <c r="R17" s="16"/>
      <c r="S17" s="16">
        <f t="shared" si="2"/>
        <v>2.5118609882937237</v>
      </c>
      <c r="T17" s="16">
        <v>0</v>
      </c>
      <c r="U17" s="2" t="s">
        <v>876</v>
      </c>
      <c r="V17" s="16">
        <v>1.8</v>
      </c>
    </row>
    <row r="18" spans="1:22" x14ac:dyDescent="0.2">
      <c r="A18" s="18" t="s">
        <v>433</v>
      </c>
      <c r="B18" s="2" t="s">
        <v>495</v>
      </c>
      <c r="C18" s="2">
        <f t="shared" si="0"/>
        <v>1</v>
      </c>
      <c r="D18" s="107"/>
      <c r="E18" s="11">
        <v>4.5194000000000001</v>
      </c>
      <c r="F18" s="11">
        <f>E18*0.08</f>
        <v>0.36155200000000004</v>
      </c>
      <c r="G18" s="76"/>
      <c r="H18" s="31"/>
      <c r="L18" s="108">
        <f t="shared" si="1"/>
        <v>0.08</v>
      </c>
      <c r="M18" s="25">
        <f t="shared" si="3"/>
        <v>0</v>
      </c>
      <c r="S18" s="2">
        <f t="shared" si="2"/>
        <v>0</v>
      </c>
      <c r="U18" s="2" t="s">
        <v>936</v>
      </c>
    </row>
    <row r="19" spans="1:22" x14ac:dyDescent="0.2">
      <c r="A19" s="18" t="s">
        <v>422</v>
      </c>
      <c r="B19" s="2" t="s">
        <v>946</v>
      </c>
      <c r="C19" s="2">
        <f t="shared" si="0"/>
        <v>1</v>
      </c>
      <c r="D19" s="107"/>
      <c r="E19" s="11">
        <v>4.1959999999999997</v>
      </c>
      <c r="F19" s="11">
        <f>E19*0.08</f>
        <v>0.33567999999999998</v>
      </c>
      <c r="G19" s="76"/>
      <c r="H19" s="31"/>
      <c r="L19" s="108">
        <f t="shared" si="1"/>
        <v>0.08</v>
      </c>
      <c r="M19" s="25">
        <f t="shared" si="3"/>
        <v>0</v>
      </c>
      <c r="S19" s="2">
        <f t="shared" si="2"/>
        <v>0</v>
      </c>
      <c r="U19" s="2" t="s">
        <v>937</v>
      </c>
    </row>
    <row r="20" spans="1:22" x14ac:dyDescent="0.2">
      <c r="A20" s="18" t="s">
        <v>427</v>
      </c>
      <c r="B20" s="2" t="s">
        <v>784</v>
      </c>
      <c r="C20" s="2">
        <f t="shared" si="0"/>
        <v>1</v>
      </c>
      <c r="D20" s="107">
        <v>3347.078</v>
      </c>
      <c r="E20" s="11">
        <f>2.397395+1.772718</f>
        <v>4.1701129999999997</v>
      </c>
      <c r="F20" s="11">
        <f>0.5*E20</f>
        <v>2.0850564999999999</v>
      </c>
      <c r="G20" s="76">
        <f>E20/D20</f>
        <v>1.2458965700829199E-3</v>
      </c>
      <c r="H20" s="31">
        <f>F20/(D20-(E20-F20))</f>
        <v>6.2333659150213985E-4</v>
      </c>
      <c r="I20" s="5">
        <v>2836</v>
      </c>
      <c r="J20" s="5">
        <v>2836</v>
      </c>
      <c r="K20" s="5">
        <f>1-0.36</f>
        <v>0.64</v>
      </c>
      <c r="L20" s="108">
        <f t="shared" si="1"/>
        <v>0.5</v>
      </c>
      <c r="M20" s="25">
        <f t="shared" si="3"/>
        <v>1.7677825735000687</v>
      </c>
      <c r="P20" s="2">
        <v>1267.876</v>
      </c>
      <c r="Q20" s="2">
        <v>693.34799999999996</v>
      </c>
      <c r="S20" s="2">
        <f t="shared" si="2"/>
        <v>2.4434822547643043</v>
      </c>
      <c r="T20" s="2">
        <v>0</v>
      </c>
      <c r="U20" s="2" t="s">
        <v>876</v>
      </c>
    </row>
    <row r="21" spans="1:22" x14ac:dyDescent="0.2">
      <c r="A21" s="18" t="s">
        <v>424</v>
      </c>
      <c r="B21" s="2" t="s">
        <v>6</v>
      </c>
      <c r="C21" s="2">
        <f t="shared" si="0"/>
        <v>1</v>
      </c>
      <c r="D21" s="107">
        <v>184.74199999999999</v>
      </c>
      <c r="E21" s="11">
        <v>3.64</v>
      </c>
      <c r="F21" s="11">
        <f>E21*0.5</f>
        <v>1.82</v>
      </c>
      <c r="G21" s="76">
        <f>E21/D21</f>
        <v>1.9703153587164804E-2</v>
      </c>
      <c r="H21" s="31">
        <f>F21/(D21-(E21-F21))</f>
        <v>9.949596002667805E-3</v>
      </c>
      <c r="I21" s="5">
        <v>106</v>
      </c>
      <c r="J21" s="5">
        <v>106</v>
      </c>
      <c r="K21" s="5">
        <v>0.37</v>
      </c>
      <c r="L21" s="108">
        <f t="shared" si="1"/>
        <v>0.5</v>
      </c>
      <c r="M21" s="25">
        <f t="shared" si="3"/>
        <v>1.0546571762827874</v>
      </c>
      <c r="P21" s="2">
        <v>52.109000000000002</v>
      </c>
      <c r="Q21" s="2">
        <v>34.854999999999997</v>
      </c>
      <c r="S21" s="2">
        <f t="shared" si="2"/>
        <v>1.7134650485542</v>
      </c>
      <c r="T21" s="2">
        <v>0</v>
      </c>
      <c r="U21" s="2" t="s">
        <v>938</v>
      </c>
    </row>
    <row r="22" spans="1:22" x14ac:dyDescent="0.2">
      <c r="A22" s="18" t="s">
        <v>426</v>
      </c>
      <c r="B22" s="2" t="s">
        <v>495</v>
      </c>
      <c r="C22" s="2">
        <f t="shared" si="0"/>
        <v>1</v>
      </c>
      <c r="D22" s="107"/>
      <c r="E22" s="11">
        <v>3.2</v>
      </c>
      <c r="F22" s="11">
        <f>E22*0.5</f>
        <v>1.6</v>
      </c>
      <c r="G22" s="76"/>
      <c r="H22" s="31"/>
      <c r="L22" s="108">
        <f t="shared" si="1"/>
        <v>0.5</v>
      </c>
      <c r="M22" s="25">
        <f t="shared" si="3"/>
        <v>0</v>
      </c>
      <c r="S22" s="2">
        <f t="shared" si="2"/>
        <v>0</v>
      </c>
      <c r="U22" s="2" t="s">
        <v>940</v>
      </c>
    </row>
    <row r="23" spans="1:22" x14ac:dyDescent="0.2">
      <c r="A23" s="2" t="s">
        <v>500</v>
      </c>
      <c r="B23" s="2" t="s">
        <v>6</v>
      </c>
      <c r="C23" s="2">
        <f t="shared" si="0"/>
        <v>1</v>
      </c>
      <c r="D23" s="107"/>
      <c r="E23" s="5">
        <v>2.1</v>
      </c>
      <c r="F23" s="5">
        <f>0.5*E23</f>
        <v>1.05</v>
      </c>
      <c r="G23" s="76"/>
      <c r="H23" s="31"/>
      <c r="L23" s="108">
        <f t="shared" si="1"/>
        <v>0.5</v>
      </c>
      <c r="M23" s="25">
        <f t="shared" si="3"/>
        <v>0</v>
      </c>
      <c r="U23" s="49" t="s">
        <v>939</v>
      </c>
    </row>
    <row r="24" spans="1:22" x14ac:dyDescent="0.2">
      <c r="A24" s="2" t="s">
        <v>517</v>
      </c>
      <c r="B24" s="2" t="s">
        <v>495</v>
      </c>
      <c r="C24" s="2">
        <f t="shared" si="0"/>
        <v>1</v>
      </c>
      <c r="D24" s="107">
        <v>32.753</v>
      </c>
      <c r="E24" s="25">
        <v>1.772</v>
      </c>
      <c r="F24" s="25">
        <f>E24</f>
        <v>1.772</v>
      </c>
      <c r="G24" s="76">
        <f>E24/D24</f>
        <v>5.4101914328458463E-2</v>
      </c>
      <c r="H24" s="31">
        <f>F24/(D24-(E24-F24))</f>
        <v>5.4101914328458463E-2</v>
      </c>
      <c r="L24" s="108">
        <f t="shared" si="1"/>
        <v>1</v>
      </c>
      <c r="M24" s="25">
        <f t="shared" si="3"/>
        <v>0</v>
      </c>
      <c r="U24" s="2" t="s">
        <v>466</v>
      </c>
    </row>
    <row r="25" spans="1:22" x14ac:dyDescent="0.2">
      <c r="A25" s="18" t="s">
        <v>429</v>
      </c>
      <c r="B25" s="2" t="s">
        <v>784</v>
      </c>
      <c r="C25" s="2">
        <f t="shared" si="0"/>
        <v>1</v>
      </c>
      <c r="D25" s="107">
        <v>774.36699999999996</v>
      </c>
      <c r="E25" s="11">
        <v>1.3345910000000001</v>
      </c>
      <c r="F25" s="25">
        <f>E25*0.5</f>
        <v>0.66729550000000004</v>
      </c>
      <c r="G25" s="76">
        <f>E25/D25</f>
        <v>1.723460581352253E-3</v>
      </c>
      <c r="H25" s="31">
        <f>F25/(D25-(E25-F25))</f>
        <v>8.6247351022479307E-4</v>
      </c>
      <c r="I25" s="5">
        <v>727</v>
      </c>
      <c r="J25" s="5">
        <v>727</v>
      </c>
      <c r="K25" s="5">
        <f>309/I25</f>
        <v>0.42503438789546077</v>
      </c>
      <c r="L25" s="108">
        <f t="shared" si="1"/>
        <v>0.5</v>
      </c>
      <c r="M25" s="25">
        <f t="shared" si="3"/>
        <v>0.62701824193342459</v>
      </c>
      <c r="P25" s="2">
        <v>319.32100000000003</v>
      </c>
      <c r="Q25" s="2">
        <v>109.378</v>
      </c>
      <c r="S25" s="2">
        <f>SUM(P25:Q25)*G25</f>
        <v>0.73884582776512953</v>
      </c>
      <c r="T25" s="2">
        <v>0</v>
      </c>
      <c r="U25" s="2" t="s">
        <v>941</v>
      </c>
    </row>
    <row r="26" spans="1:22" x14ac:dyDescent="0.2">
      <c r="A26" s="2" t="s">
        <v>164</v>
      </c>
      <c r="B26" s="2" t="s">
        <v>678</v>
      </c>
      <c r="C26" s="2">
        <f t="shared" si="0"/>
        <v>1</v>
      </c>
      <c r="D26" s="107">
        <v>47.25</v>
      </c>
      <c r="E26" s="11">
        <v>1.165</v>
      </c>
      <c r="F26" s="11">
        <f>E26</f>
        <v>1.165</v>
      </c>
      <c r="G26" s="76">
        <f>E26/D26</f>
        <v>2.4656084656084657E-2</v>
      </c>
      <c r="H26" s="31">
        <f>F26/(D26-(E26-F26))</f>
        <v>2.4656084656084657E-2</v>
      </c>
      <c r="I26" s="5">
        <f>20+19</f>
        <v>39</v>
      </c>
      <c r="J26" s="5">
        <f>20+19</f>
        <v>39</v>
      </c>
      <c r="K26" s="5">
        <f>(5+11)/J26</f>
        <v>0.41025641025641024</v>
      </c>
      <c r="L26" s="108">
        <f t="shared" si="1"/>
        <v>1</v>
      </c>
      <c r="M26" s="25">
        <f t="shared" si="3"/>
        <v>0.96158730158730166</v>
      </c>
      <c r="P26" s="2">
        <f>8.093+11.036</f>
        <v>19.128999999999998</v>
      </c>
      <c r="Q26" s="2">
        <f>2.51+3.966</f>
        <v>6.476</v>
      </c>
      <c r="S26" s="2">
        <f>SUM(P26:Q26)*G26</f>
        <v>0.63131904761904756</v>
      </c>
      <c r="T26" s="2">
        <v>0</v>
      </c>
      <c r="U26" s="2" t="s">
        <v>942</v>
      </c>
    </row>
    <row r="27" spans="1:22" x14ac:dyDescent="0.2">
      <c r="A27" s="18" t="s">
        <v>435</v>
      </c>
      <c r="B27" s="2" t="s">
        <v>6</v>
      </c>
      <c r="C27" s="2">
        <f t="shared" si="0"/>
        <v>1</v>
      </c>
      <c r="D27" s="107"/>
      <c r="E27" s="11">
        <v>1.129332</v>
      </c>
      <c r="F27" s="11">
        <f>E27*0.08</f>
        <v>9.0346560000000006E-2</v>
      </c>
      <c r="G27" s="76"/>
      <c r="H27" s="31"/>
      <c r="L27" s="108">
        <f t="shared" si="1"/>
        <v>0.08</v>
      </c>
      <c r="M27" s="25">
        <f t="shared" si="3"/>
        <v>0</v>
      </c>
      <c r="S27" s="2">
        <f>SUM(P27:Q27)*G27</f>
        <v>0</v>
      </c>
      <c r="U27" s="2" t="s">
        <v>943</v>
      </c>
    </row>
    <row r="28" spans="1:22" x14ac:dyDescent="0.2">
      <c r="A28" s="18" t="s">
        <v>514</v>
      </c>
      <c r="B28" s="2" t="s">
        <v>784</v>
      </c>
      <c r="C28" s="2">
        <f t="shared" si="0"/>
        <v>1</v>
      </c>
      <c r="D28" s="107">
        <v>53.101168000000001</v>
      </c>
      <c r="E28" s="11">
        <v>1</v>
      </c>
      <c r="F28" s="11">
        <f>E28</f>
        <v>1</v>
      </c>
      <c r="G28" s="76">
        <f>E28/D28</f>
        <v>1.8831977481173295E-2</v>
      </c>
      <c r="H28" s="31">
        <f>F28/(D28-(E28-F28))</f>
        <v>1.8831977481173295E-2</v>
      </c>
      <c r="I28" s="5">
        <v>45</v>
      </c>
      <c r="J28" s="5">
        <f>11+3+11+5+3+1</f>
        <v>34</v>
      </c>
      <c r="K28" s="5">
        <f>(3+5+1)/J28</f>
        <v>0.26470588235294118</v>
      </c>
      <c r="L28" s="108">
        <f t="shared" si="1"/>
        <v>1</v>
      </c>
      <c r="M28" s="25">
        <f t="shared" si="3"/>
        <v>0.64028723435989199</v>
      </c>
      <c r="P28" s="2">
        <v>37.383217999999999</v>
      </c>
      <c r="Q28" s="2">
        <v>0</v>
      </c>
      <c r="S28" s="2">
        <f>SUM(P28:Q28)*H28</f>
        <v>0.70399991954979224</v>
      </c>
      <c r="T28" s="2">
        <v>0</v>
      </c>
      <c r="U28" s="2" t="s">
        <v>1043</v>
      </c>
    </row>
    <row r="29" spans="1:22" x14ac:dyDescent="0.2">
      <c r="A29" s="18" t="s">
        <v>430</v>
      </c>
      <c r="B29" s="2" t="s">
        <v>495</v>
      </c>
      <c r="C29" s="2">
        <f t="shared" si="0"/>
        <v>1</v>
      </c>
      <c r="D29" s="107"/>
      <c r="E29" s="11">
        <v>1</v>
      </c>
      <c r="F29" s="11">
        <f>E29*0.5</f>
        <v>0.5</v>
      </c>
      <c r="G29" s="76" t="e">
        <f>E29/D29</f>
        <v>#DIV/0!</v>
      </c>
      <c r="H29" s="31">
        <f>F29/(D29-(E29-F29))</f>
        <v>-1</v>
      </c>
      <c r="L29" s="108">
        <f t="shared" si="1"/>
        <v>0.5</v>
      </c>
      <c r="M29" s="25">
        <f t="shared" si="3"/>
        <v>0</v>
      </c>
      <c r="S29" s="2" t="e">
        <f>SUM(P29:Q29)*G29</f>
        <v>#DIV/0!</v>
      </c>
      <c r="U29" s="2" t="s">
        <v>944</v>
      </c>
    </row>
    <row r="30" spans="1:22" x14ac:dyDescent="0.2">
      <c r="A30" s="18" t="s">
        <v>436</v>
      </c>
      <c r="B30" s="2" t="s">
        <v>946</v>
      </c>
      <c r="C30" s="2">
        <f t="shared" si="0"/>
        <v>1</v>
      </c>
      <c r="D30" s="107"/>
      <c r="E30" s="11">
        <v>1</v>
      </c>
      <c r="F30" s="11">
        <f>E30*0.5</f>
        <v>0.5</v>
      </c>
      <c r="G30" s="76" t="e">
        <f>E30/D30</f>
        <v>#DIV/0!</v>
      </c>
      <c r="H30" s="31">
        <f>F30/(D30-(E30-F30))</f>
        <v>-1</v>
      </c>
      <c r="L30" s="108">
        <f t="shared" si="1"/>
        <v>0.5</v>
      </c>
      <c r="M30" s="25">
        <f t="shared" si="3"/>
        <v>0</v>
      </c>
      <c r="S30" s="2" t="e">
        <f>SUM(P30:Q30)*G30</f>
        <v>#DIV/0!</v>
      </c>
      <c r="U30" s="2" t="s">
        <v>945</v>
      </c>
    </row>
    <row r="31" spans="1:22" x14ac:dyDescent="0.2">
      <c r="A31" s="18" t="s">
        <v>438</v>
      </c>
      <c r="B31" s="2" t="s">
        <v>946</v>
      </c>
      <c r="C31" s="2">
        <f t="shared" si="0"/>
        <v>1</v>
      </c>
      <c r="D31" s="107">
        <v>15.353242</v>
      </c>
      <c r="E31" s="11">
        <v>1</v>
      </c>
      <c r="F31" s="11">
        <f>E31*0.5</f>
        <v>0.5</v>
      </c>
      <c r="G31" s="76">
        <f>E31/D31</f>
        <v>6.5132823412801022E-2</v>
      </c>
      <c r="H31" s="31">
        <f>F31/(D31-(E31-F31))</f>
        <v>3.3662684550618646E-2</v>
      </c>
      <c r="I31" s="5">
        <v>9</v>
      </c>
      <c r="J31" s="5">
        <v>9</v>
      </c>
      <c r="K31" s="5">
        <f>0.5/9</f>
        <v>5.5555555555555552E-2</v>
      </c>
      <c r="L31" s="108">
        <f t="shared" si="1"/>
        <v>0.5</v>
      </c>
      <c r="M31" s="25">
        <f t="shared" si="3"/>
        <v>0.30296416095556783</v>
      </c>
      <c r="P31" s="2">
        <v>3.8235519999999998</v>
      </c>
      <c r="Q31" s="2">
        <v>1.360493</v>
      </c>
      <c r="S31" s="2">
        <f>SUM(P31:Q31)*G31</f>
        <v>0.33765148754901403</v>
      </c>
      <c r="T31" s="2">
        <v>0</v>
      </c>
      <c r="U31" s="2" t="s">
        <v>876</v>
      </c>
    </row>
    <row r="32" spans="1:22" s="44" customFormat="1" ht="15" x14ac:dyDescent="0.25">
      <c r="C32" s="44">
        <f>SUM(C2:C31)</f>
        <v>30</v>
      </c>
      <c r="E32" s="80">
        <f>SUM(E2:E31)</f>
        <v>411.77898600000003</v>
      </c>
      <c r="F32" s="80">
        <f>SUM(F2:F31)</f>
        <v>304.88194158442076</v>
      </c>
      <c r="G32" s="80"/>
      <c r="I32" s="80"/>
      <c r="J32" s="80">
        <f>SUM(J2:J31)</f>
        <v>4638</v>
      </c>
      <c r="K32" s="80"/>
      <c r="L32" s="127">
        <f t="shared" si="1"/>
        <v>0.74040189507004306</v>
      </c>
      <c r="M32" s="52">
        <f>SUM(M2:M31)</f>
        <v>172.48342148239192</v>
      </c>
    </row>
  </sheetData>
  <sortState ref="A2:AE57">
    <sortCondition descending="1" ref="C2:C57"/>
  </sortState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1" sqref="C21"/>
    </sheetView>
  </sheetViews>
  <sheetFormatPr defaultRowHeight="14.25" x14ac:dyDescent="0.2"/>
  <cols>
    <col min="1" max="1" width="30.25" style="6" customWidth="1"/>
    <col min="2" max="2" width="10" style="6" bestFit="1" customWidth="1"/>
    <col min="3" max="3" width="10" style="6" customWidth="1"/>
    <col min="4" max="5" width="9.125" style="6" bestFit="1" customWidth="1"/>
    <col min="6" max="6" width="9.125" style="6" customWidth="1"/>
    <col min="7" max="8" width="9.125" style="6" bestFit="1" customWidth="1"/>
    <col min="9" max="16384" width="9" style="6"/>
  </cols>
  <sheetData>
    <row r="1" spans="1:8" ht="101.25" customHeight="1" x14ac:dyDescent="0.2">
      <c r="A1" s="12" t="s">
        <v>413</v>
      </c>
      <c r="B1" s="12" t="s">
        <v>1</v>
      </c>
      <c r="C1" s="12" t="s">
        <v>683</v>
      </c>
      <c r="D1" s="12" t="s">
        <v>338</v>
      </c>
      <c r="E1" s="12" t="s">
        <v>680</v>
      </c>
      <c r="F1" s="12" t="s">
        <v>681</v>
      </c>
      <c r="G1" s="12" t="s">
        <v>315</v>
      </c>
      <c r="H1" s="12" t="s">
        <v>342</v>
      </c>
    </row>
    <row r="2" spans="1:8" x14ac:dyDescent="0.2">
      <c r="A2" s="13" t="s">
        <v>316</v>
      </c>
      <c r="B2" s="14" t="s">
        <v>512</v>
      </c>
      <c r="C2" s="14"/>
      <c r="D2" s="14">
        <v>1</v>
      </c>
      <c r="E2" s="14">
        <f t="shared" ref="E2:E14" si="0">IF(H2&gt;1,1,0)</f>
        <v>0</v>
      </c>
      <c r="F2" s="14">
        <f t="shared" ref="F2:F14" si="1">IF(H2&lt;=0,1,)</f>
        <v>1</v>
      </c>
      <c r="G2" s="14">
        <v>3.3000000000000002E-2</v>
      </c>
      <c r="H2" s="14"/>
    </row>
    <row r="3" spans="1:8" x14ac:dyDescent="0.2">
      <c r="A3" s="13" t="s">
        <v>318</v>
      </c>
      <c r="B3" s="14" t="s">
        <v>512</v>
      </c>
      <c r="C3" s="14"/>
      <c r="D3" s="14">
        <v>1</v>
      </c>
      <c r="E3" s="14">
        <f t="shared" si="0"/>
        <v>0</v>
      </c>
      <c r="F3" s="14">
        <f t="shared" si="1"/>
        <v>1</v>
      </c>
      <c r="G3" s="14">
        <v>1.74</v>
      </c>
      <c r="H3" s="14"/>
    </row>
    <row r="4" spans="1:8" x14ac:dyDescent="0.2">
      <c r="A4" s="13" t="s">
        <v>320</v>
      </c>
      <c r="B4" s="14" t="s">
        <v>512</v>
      </c>
      <c r="C4" s="14"/>
      <c r="D4" s="14">
        <v>1</v>
      </c>
      <c r="E4" s="14">
        <f t="shared" si="0"/>
        <v>0</v>
      </c>
      <c r="F4" s="14">
        <f t="shared" si="1"/>
        <v>1</v>
      </c>
      <c r="G4" s="14"/>
      <c r="H4" s="14"/>
    </row>
    <row r="5" spans="1:8" x14ac:dyDescent="0.2">
      <c r="A5" s="13" t="s">
        <v>322</v>
      </c>
      <c r="B5" s="14" t="s">
        <v>512</v>
      </c>
      <c r="C5" s="14"/>
      <c r="D5" s="14">
        <v>1</v>
      </c>
      <c r="E5" s="14">
        <f t="shared" si="0"/>
        <v>0</v>
      </c>
      <c r="F5" s="14">
        <f t="shared" si="1"/>
        <v>1</v>
      </c>
      <c r="G5" s="14"/>
      <c r="H5" s="14"/>
    </row>
    <row r="6" spans="1:8" x14ac:dyDescent="0.2">
      <c r="A6" s="13" t="s">
        <v>324</v>
      </c>
      <c r="B6" s="14" t="s">
        <v>512</v>
      </c>
      <c r="C6" s="14"/>
      <c r="D6" s="14">
        <v>1</v>
      </c>
      <c r="E6" s="14">
        <f t="shared" si="0"/>
        <v>0</v>
      </c>
      <c r="F6" s="14">
        <f t="shared" si="1"/>
        <v>1</v>
      </c>
      <c r="G6" s="14">
        <v>3.9950000000000001</v>
      </c>
      <c r="H6" s="14"/>
    </row>
    <row r="7" spans="1:8" x14ac:dyDescent="0.2">
      <c r="A7" s="15" t="s">
        <v>326</v>
      </c>
      <c r="B7" s="14" t="s">
        <v>512</v>
      </c>
      <c r="C7" s="14"/>
      <c r="D7" s="16">
        <v>1</v>
      </c>
      <c r="E7" s="14">
        <f t="shared" si="0"/>
        <v>0</v>
      </c>
      <c r="F7" s="14">
        <f t="shared" si="1"/>
        <v>1</v>
      </c>
      <c r="G7" s="16"/>
      <c r="H7" s="16"/>
    </row>
    <row r="8" spans="1:8" x14ac:dyDescent="0.2">
      <c r="A8" s="15" t="s">
        <v>327</v>
      </c>
      <c r="B8" s="14" t="s">
        <v>512</v>
      </c>
      <c r="C8" s="14"/>
      <c r="D8" s="16">
        <v>1</v>
      </c>
      <c r="E8" s="14">
        <f t="shared" si="0"/>
        <v>0</v>
      </c>
      <c r="F8" s="14">
        <f t="shared" si="1"/>
        <v>1</v>
      </c>
      <c r="G8" s="16">
        <v>26.898</v>
      </c>
      <c r="H8" s="16"/>
    </row>
    <row r="9" spans="1:8" x14ac:dyDescent="0.2">
      <c r="A9" s="13" t="s">
        <v>328</v>
      </c>
      <c r="B9" s="14" t="s">
        <v>512</v>
      </c>
      <c r="C9" s="14"/>
      <c r="D9" s="14">
        <v>1</v>
      </c>
      <c r="E9" s="14">
        <f t="shared" si="0"/>
        <v>0</v>
      </c>
      <c r="F9" s="14">
        <f t="shared" si="1"/>
        <v>1</v>
      </c>
      <c r="G9" s="14">
        <v>9.1010000000000009</v>
      </c>
      <c r="H9" s="14"/>
    </row>
    <row r="10" spans="1:8" x14ac:dyDescent="0.2">
      <c r="A10" s="13" t="s">
        <v>330</v>
      </c>
      <c r="B10" s="14" t="s">
        <v>512</v>
      </c>
      <c r="C10" s="14"/>
      <c r="D10" s="14">
        <v>1</v>
      </c>
      <c r="E10" s="14">
        <f t="shared" si="0"/>
        <v>0</v>
      </c>
      <c r="F10" s="14">
        <f t="shared" si="1"/>
        <v>1</v>
      </c>
      <c r="G10" s="14"/>
      <c r="H10" s="14"/>
    </row>
    <row r="11" spans="1:8" x14ac:dyDescent="0.2">
      <c r="A11" s="13" t="s">
        <v>333</v>
      </c>
      <c r="B11" s="14" t="s">
        <v>512</v>
      </c>
      <c r="C11" s="14"/>
      <c r="D11" s="14">
        <v>1</v>
      </c>
      <c r="E11" s="14">
        <f t="shared" si="0"/>
        <v>0</v>
      </c>
      <c r="F11" s="14">
        <f t="shared" si="1"/>
        <v>1</v>
      </c>
      <c r="G11" s="14">
        <v>128.078</v>
      </c>
      <c r="H11" s="14"/>
    </row>
    <row r="12" spans="1:8" x14ac:dyDescent="0.2">
      <c r="A12" s="13" t="s">
        <v>329</v>
      </c>
      <c r="B12" s="14" t="s">
        <v>512</v>
      </c>
      <c r="C12" s="14"/>
      <c r="D12" s="14">
        <v>1</v>
      </c>
      <c r="E12" s="14">
        <f t="shared" si="0"/>
        <v>0</v>
      </c>
      <c r="F12" s="14">
        <f t="shared" si="1"/>
        <v>1</v>
      </c>
      <c r="G12" s="14"/>
      <c r="H12" s="14"/>
    </row>
    <row r="13" spans="1:8" x14ac:dyDescent="0.2">
      <c r="A13" s="13" t="s">
        <v>335</v>
      </c>
      <c r="B13" s="14" t="s">
        <v>512</v>
      </c>
      <c r="C13" s="14"/>
      <c r="D13" s="14">
        <v>1</v>
      </c>
      <c r="E13" s="14">
        <f t="shared" si="0"/>
        <v>0</v>
      </c>
      <c r="F13" s="14">
        <f t="shared" si="1"/>
        <v>1</v>
      </c>
      <c r="G13" s="14">
        <v>4.5780000000000003</v>
      </c>
      <c r="H13" s="14"/>
    </row>
    <row r="14" spans="1:8" x14ac:dyDescent="0.2">
      <c r="A14" s="15" t="s">
        <v>337</v>
      </c>
      <c r="B14" s="14" t="s">
        <v>512</v>
      </c>
      <c r="C14" s="14"/>
      <c r="D14" s="16">
        <v>1</v>
      </c>
      <c r="E14" s="14">
        <f t="shared" si="0"/>
        <v>0</v>
      </c>
      <c r="F14" s="14">
        <f t="shared" si="1"/>
        <v>1</v>
      </c>
      <c r="G14" s="16">
        <v>457.7</v>
      </c>
      <c r="H14" s="16"/>
    </row>
  </sheetData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38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4.25" x14ac:dyDescent="0.2"/>
  <cols>
    <col min="1" max="1" width="30.25" style="6" customWidth="1"/>
    <col min="2" max="2" width="10" style="6" bestFit="1" customWidth="1"/>
    <col min="3" max="3" width="10" style="6" customWidth="1"/>
    <col min="4" max="5" width="9.125" style="6" bestFit="1" customWidth="1"/>
    <col min="6" max="6" width="9.125" style="6" customWidth="1"/>
    <col min="7" max="8" width="9.125" style="6" bestFit="1" customWidth="1"/>
    <col min="9" max="16384" width="9" style="6"/>
  </cols>
  <sheetData>
    <row r="1" spans="1:8" ht="101.25" customHeight="1" x14ac:dyDescent="0.2">
      <c r="A1" s="12" t="s">
        <v>413</v>
      </c>
      <c r="B1" s="12" t="s">
        <v>1</v>
      </c>
      <c r="C1" s="12" t="s">
        <v>683</v>
      </c>
      <c r="D1" s="12" t="s">
        <v>338</v>
      </c>
      <c r="E1" s="12" t="s">
        <v>680</v>
      </c>
      <c r="F1" s="12" t="s">
        <v>681</v>
      </c>
      <c r="G1" s="12" t="s">
        <v>315</v>
      </c>
      <c r="H1" s="12" t="s">
        <v>342</v>
      </c>
    </row>
    <row r="2" spans="1:8" x14ac:dyDescent="0.2">
      <c r="A2" s="15" t="s">
        <v>523</v>
      </c>
      <c r="B2" s="14" t="s">
        <v>512</v>
      </c>
      <c r="C2" s="14"/>
      <c r="D2" s="15">
        <v>0</v>
      </c>
      <c r="E2" s="14">
        <f t="shared" ref="E2:E33" si="0">IF(H2&gt;1,1,0)</f>
        <v>0</v>
      </c>
      <c r="F2" s="14">
        <f t="shared" ref="F2:F33" si="1">IF(H2&lt;=0,1,)</f>
        <v>0</v>
      </c>
      <c r="G2" s="15"/>
      <c r="H2" s="15">
        <v>0.22120100000000001</v>
      </c>
    </row>
    <row r="3" spans="1:8" x14ac:dyDescent="0.2">
      <c r="A3" s="15" t="s">
        <v>524</v>
      </c>
      <c r="B3" s="14" t="s">
        <v>512</v>
      </c>
      <c r="C3" s="14"/>
      <c r="D3" s="15">
        <v>0</v>
      </c>
      <c r="E3" s="14">
        <f t="shared" si="0"/>
        <v>0</v>
      </c>
      <c r="F3" s="14">
        <f t="shared" si="1"/>
        <v>0</v>
      </c>
      <c r="G3" s="15"/>
      <c r="H3" s="15">
        <v>0.28341699999999997</v>
      </c>
    </row>
    <row r="4" spans="1:8" x14ac:dyDescent="0.2">
      <c r="A4" s="6" t="s">
        <v>557</v>
      </c>
      <c r="B4" s="14" t="s">
        <v>512</v>
      </c>
      <c r="C4" s="14"/>
      <c r="D4" s="15">
        <v>0</v>
      </c>
      <c r="E4" s="14">
        <f t="shared" si="0"/>
        <v>0</v>
      </c>
      <c r="F4" s="14">
        <f t="shared" si="1"/>
        <v>0</v>
      </c>
      <c r="H4" s="6">
        <v>0.84972360000000002</v>
      </c>
    </row>
    <row r="5" spans="1:8" s="2" customFormat="1" x14ac:dyDescent="0.2">
      <c r="A5" s="6" t="s">
        <v>558</v>
      </c>
      <c r="B5" s="14" t="s">
        <v>512</v>
      </c>
      <c r="C5" s="14"/>
      <c r="D5" s="15">
        <v>0</v>
      </c>
      <c r="E5" s="14">
        <f t="shared" si="0"/>
        <v>0</v>
      </c>
      <c r="F5" s="14">
        <f t="shared" si="1"/>
        <v>0</v>
      </c>
      <c r="G5" s="6"/>
      <c r="H5" s="6">
        <v>1.5E-3</v>
      </c>
    </row>
    <row r="6" spans="1:8" s="2" customFormat="1" x14ac:dyDescent="0.2">
      <c r="A6" s="6" t="s">
        <v>559</v>
      </c>
      <c r="B6" s="14" t="s">
        <v>512</v>
      </c>
      <c r="C6" s="14"/>
      <c r="D6" s="15">
        <v>0</v>
      </c>
      <c r="E6" s="14">
        <f t="shared" si="0"/>
        <v>0</v>
      </c>
      <c r="F6" s="14">
        <f t="shared" si="1"/>
        <v>0</v>
      </c>
      <c r="G6" s="6"/>
      <c r="H6" s="6">
        <v>1.9042E-2</v>
      </c>
    </row>
    <row r="7" spans="1:8" x14ac:dyDescent="0.2">
      <c r="A7" s="6" t="s">
        <v>560</v>
      </c>
      <c r="B7" s="14" t="s">
        <v>512</v>
      </c>
      <c r="C7" s="14"/>
      <c r="D7" s="15">
        <v>0</v>
      </c>
      <c r="E7" s="14">
        <f t="shared" si="0"/>
        <v>0</v>
      </c>
      <c r="F7" s="14">
        <f t="shared" si="1"/>
        <v>0</v>
      </c>
      <c r="H7" s="6">
        <v>0.188968</v>
      </c>
    </row>
    <row r="8" spans="1:8" x14ac:dyDescent="0.2">
      <c r="A8" s="6" t="s">
        <v>561</v>
      </c>
      <c r="B8" s="14" t="s">
        <v>512</v>
      </c>
      <c r="C8" s="14"/>
      <c r="D8" s="15">
        <v>0</v>
      </c>
      <c r="E8" s="14">
        <f t="shared" si="0"/>
        <v>0</v>
      </c>
      <c r="F8" s="14">
        <f t="shared" si="1"/>
        <v>0</v>
      </c>
      <c r="H8" s="6">
        <v>9.3215999999999993E-2</v>
      </c>
    </row>
    <row r="9" spans="1:8" x14ac:dyDescent="0.2">
      <c r="A9" s="6" t="s">
        <v>562</v>
      </c>
      <c r="B9" s="14" t="s">
        <v>512</v>
      </c>
      <c r="C9" s="14"/>
      <c r="D9" s="15">
        <v>0</v>
      </c>
      <c r="E9" s="14">
        <f t="shared" si="0"/>
        <v>0</v>
      </c>
      <c r="F9" s="14">
        <f t="shared" si="1"/>
        <v>0</v>
      </c>
      <c r="H9" s="6">
        <v>1.5141699999999999E-2</v>
      </c>
    </row>
    <row r="10" spans="1:8" x14ac:dyDescent="0.2">
      <c r="A10" s="6" t="s">
        <v>563</v>
      </c>
      <c r="B10" s="14" t="s">
        <v>512</v>
      </c>
      <c r="C10" s="14"/>
      <c r="D10" s="15">
        <v>0</v>
      </c>
      <c r="E10" s="14">
        <f t="shared" si="0"/>
        <v>0</v>
      </c>
      <c r="F10" s="14">
        <f t="shared" si="1"/>
        <v>0</v>
      </c>
      <c r="H10" s="6">
        <v>0.37193399999999999</v>
      </c>
    </row>
    <row r="11" spans="1:8" x14ac:dyDescent="0.2">
      <c r="A11" s="6" t="s">
        <v>564</v>
      </c>
      <c r="B11" s="14" t="s">
        <v>512</v>
      </c>
      <c r="C11" s="14"/>
      <c r="D11" s="15">
        <v>0</v>
      </c>
      <c r="E11" s="14">
        <f t="shared" si="0"/>
        <v>0</v>
      </c>
      <c r="F11" s="14">
        <f t="shared" si="1"/>
        <v>0</v>
      </c>
      <c r="H11" s="6">
        <v>0.96216599999999997</v>
      </c>
    </row>
    <row r="12" spans="1:8" x14ac:dyDescent="0.2">
      <c r="A12" s="6" t="s">
        <v>565</v>
      </c>
      <c r="B12" s="14" t="s">
        <v>512</v>
      </c>
      <c r="C12" s="14"/>
      <c r="D12" s="15">
        <v>0</v>
      </c>
      <c r="E12" s="14">
        <f t="shared" si="0"/>
        <v>0</v>
      </c>
      <c r="F12" s="14">
        <f t="shared" si="1"/>
        <v>0</v>
      </c>
      <c r="H12" s="6">
        <v>1.7999999999999999E-2</v>
      </c>
    </row>
    <row r="13" spans="1:8" s="2" customFormat="1" x14ac:dyDescent="0.2">
      <c r="A13" s="6" t="s">
        <v>566</v>
      </c>
      <c r="B13" s="14" t="s">
        <v>512</v>
      </c>
      <c r="C13" s="14"/>
      <c r="D13" s="15">
        <v>0</v>
      </c>
      <c r="E13" s="14">
        <f t="shared" si="0"/>
        <v>0</v>
      </c>
      <c r="F13" s="14">
        <f t="shared" si="1"/>
        <v>0</v>
      </c>
      <c r="G13" s="6"/>
      <c r="H13" s="6">
        <v>1.2E-2</v>
      </c>
    </row>
    <row r="14" spans="1:8" x14ac:dyDescent="0.2">
      <c r="A14" s="6" t="s">
        <v>567</v>
      </c>
      <c r="B14" s="14" t="s">
        <v>512</v>
      </c>
      <c r="C14" s="14"/>
      <c r="D14" s="15">
        <v>0</v>
      </c>
      <c r="E14" s="14">
        <f t="shared" si="0"/>
        <v>0</v>
      </c>
      <c r="F14" s="14">
        <f t="shared" si="1"/>
        <v>0</v>
      </c>
      <c r="H14" s="6">
        <v>0.245945</v>
      </c>
    </row>
    <row r="15" spans="1:8" x14ac:dyDescent="0.2">
      <c r="A15" s="6" t="s">
        <v>568</v>
      </c>
      <c r="B15" s="14" t="s">
        <v>512</v>
      </c>
      <c r="C15" s="14"/>
      <c r="D15" s="15">
        <v>0</v>
      </c>
      <c r="E15" s="14">
        <f t="shared" si="0"/>
        <v>0</v>
      </c>
      <c r="F15" s="14">
        <f t="shared" si="1"/>
        <v>0</v>
      </c>
      <c r="H15" s="6">
        <v>9.6601000000000006E-2</v>
      </c>
    </row>
    <row r="16" spans="1:8" x14ac:dyDescent="0.2">
      <c r="A16" s="6" t="s">
        <v>553</v>
      </c>
      <c r="B16" s="14" t="s">
        <v>512</v>
      </c>
      <c r="C16" s="14"/>
      <c r="D16" s="15">
        <v>0</v>
      </c>
      <c r="E16" s="14">
        <f t="shared" si="0"/>
        <v>0</v>
      </c>
      <c r="F16" s="14">
        <f t="shared" si="1"/>
        <v>0</v>
      </c>
      <c r="H16" s="6">
        <v>0.13767099999999999</v>
      </c>
    </row>
    <row r="17" spans="1:8" x14ac:dyDescent="0.2">
      <c r="A17" s="6" t="s">
        <v>569</v>
      </c>
      <c r="B17" s="14" t="s">
        <v>512</v>
      </c>
      <c r="C17" s="14"/>
      <c r="D17" s="15">
        <v>0</v>
      </c>
      <c r="E17" s="14">
        <f t="shared" si="0"/>
        <v>0</v>
      </c>
      <c r="F17" s="14">
        <f t="shared" si="1"/>
        <v>0</v>
      </c>
      <c r="H17" s="6">
        <v>2.4400000000000002E-2</v>
      </c>
    </row>
    <row r="18" spans="1:8" x14ac:dyDescent="0.2">
      <c r="A18" s="6" t="s">
        <v>570</v>
      </c>
      <c r="B18" s="14" t="s">
        <v>512</v>
      </c>
      <c r="C18" s="14"/>
      <c r="D18" s="15">
        <v>0</v>
      </c>
      <c r="E18" s="14">
        <f t="shared" si="0"/>
        <v>0</v>
      </c>
      <c r="F18" s="14">
        <f t="shared" si="1"/>
        <v>0</v>
      </c>
      <c r="H18" s="6">
        <v>0.160885</v>
      </c>
    </row>
    <row r="19" spans="1:8" x14ac:dyDescent="0.2">
      <c r="A19" s="6" t="s">
        <v>571</v>
      </c>
      <c r="B19" s="14" t="s">
        <v>512</v>
      </c>
      <c r="C19" s="14"/>
      <c r="D19" s="15">
        <v>0</v>
      </c>
      <c r="E19" s="14">
        <f t="shared" si="0"/>
        <v>0</v>
      </c>
      <c r="F19" s="14">
        <f t="shared" si="1"/>
        <v>0</v>
      </c>
      <c r="H19" s="6">
        <v>0.78518399999999999</v>
      </c>
    </row>
    <row r="20" spans="1:8" x14ac:dyDescent="0.2">
      <c r="A20" s="6" t="s">
        <v>643</v>
      </c>
      <c r="B20" s="14" t="s">
        <v>512</v>
      </c>
      <c r="C20" s="14"/>
      <c r="D20" s="15">
        <v>0</v>
      </c>
      <c r="E20" s="14">
        <f t="shared" si="0"/>
        <v>0</v>
      </c>
      <c r="F20" s="14">
        <f t="shared" si="1"/>
        <v>0</v>
      </c>
      <c r="H20" s="6">
        <v>4.1763E-3</v>
      </c>
    </row>
    <row r="21" spans="1:8" x14ac:dyDescent="0.2">
      <c r="A21" s="6" t="s">
        <v>572</v>
      </c>
      <c r="B21" s="14" t="s">
        <v>512</v>
      </c>
      <c r="C21" s="14"/>
      <c r="D21" s="15">
        <v>0</v>
      </c>
      <c r="E21" s="14">
        <f t="shared" si="0"/>
        <v>0</v>
      </c>
      <c r="F21" s="14">
        <f t="shared" si="1"/>
        <v>0</v>
      </c>
      <c r="H21" s="6">
        <v>0.102448</v>
      </c>
    </row>
    <row r="22" spans="1:8" x14ac:dyDescent="0.2">
      <c r="A22" s="15" t="s">
        <v>525</v>
      </c>
      <c r="B22" s="14" t="s">
        <v>512</v>
      </c>
      <c r="C22" s="14"/>
      <c r="D22" s="15">
        <v>0</v>
      </c>
      <c r="E22" s="14">
        <f t="shared" si="0"/>
        <v>0</v>
      </c>
      <c r="F22" s="14">
        <f t="shared" si="1"/>
        <v>0</v>
      </c>
      <c r="G22" s="15"/>
      <c r="H22" s="15">
        <v>0.28299999999999997</v>
      </c>
    </row>
    <row r="23" spans="1:8" x14ac:dyDescent="0.2">
      <c r="A23" s="15" t="s">
        <v>526</v>
      </c>
      <c r="B23" s="14" t="s">
        <v>512</v>
      </c>
      <c r="C23" s="14"/>
      <c r="D23" s="15">
        <v>0</v>
      </c>
      <c r="E23" s="14">
        <f t="shared" si="0"/>
        <v>0</v>
      </c>
      <c r="F23" s="14">
        <f t="shared" si="1"/>
        <v>0</v>
      </c>
      <c r="G23" s="15"/>
      <c r="H23" s="15">
        <v>0.15</v>
      </c>
    </row>
    <row r="24" spans="1:8" x14ac:dyDescent="0.2">
      <c r="A24" s="6" t="s">
        <v>573</v>
      </c>
      <c r="B24" s="14" t="s">
        <v>512</v>
      </c>
      <c r="C24" s="14"/>
      <c r="D24" s="15">
        <v>0</v>
      </c>
      <c r="E24" s="14">
        <f t="shared" si="0"/>
        <v>0</v>
      </c>
      <c r="F24" s="14">
        <f t="shared" si="1"/>
        <v>0</v>
      </c>
      <c r="H24" s="6">
        <v>0.74249399999999999</v>
      </c>
    </row>
    <row r="25" spans="1:8" x14ac:dyDescent="0.2">
      <c r="A25" s="6" t="s">
        <v>644</v>
      </c>
      <c r="B25" s="14" t="s">
        <v>512</v>
      </c>
      <c r="C25" s="14"/>
      <c r="D25" s="15">
        <v>0</v>
      </c>
      <c r="E25" s="14">
        <f t="shared" si="0"/>
        <v>0</v>
      </c>
      <c r="F25" s="14">
        <f t="shared" si="1"/>
        <v>0</v>
      </c>
      <c r="H25" s="6">
        <v>0.17321900000000001</v>
      </c>
    </row>
    <row r="26" spans="1:8" x14ac:dyDescent="0.2">
      <c r="A26" s="6" t="s">
        <v>574</v>
      </c>
      <c r="B26" s="14" t="s">
        <v>512</v>
      </c>
      <c r="C26" s="14"/>
      <c r="D26" s="14">
        <v>0</v>
      </c>
      <c r="E26" s="14">
        <f t="shared" si="0"/>
        <v>0</v>
      </c>
      <c r="F26" s="14">
        <f t="shared" si="1"/>
        <v>0</v>
      </c>
      <c r="H26" s="6">
        <v>0.1243297</v>
      </c>
    </row>
    <row r="27" spans="1:8" x14ac:dyDescent="0.2">
      <c r="A27" s="6" t="s">
        <v>575</v>
      </c>
      <c r="B27" s="14" t="s">
        <v>512</v>
      </c>
      <c r="C27" s="14"/>
      <c r="D27" s="15">
        <v>0</v>
      </c>
      <c r="E27" s="14">
        <f t="shared" si="0"/>
        <v>0</v>
      </c>
      <c r="F27" s="14">
        <f t="shared" si="1"/>
        <v>0</v>
      </c>
      <c r="H27" s="6">
        <v>0.37143799999999999</v>
      </c>
    </row>
    <row r="28" spans="1:8" x14ac:dyDescent="0.2">
      <c r="A28" s="6" t="s">
        <v>576</v>
      </c>
      <c r="B28" s="14" t="s">
        <v>512</v>
      </c>
      <c r="C28" s="14"/>
      <c r="D28" s="15">
        <v>0</v>
      </c>
      <c r="E28" s="14">
        <f t="shared" si="0"/>
        <v>0</v>
      </c>
      <c r="F28" s="14">
        <f t="shared" si="1"/>
        <v>0</v>
      </c>
      <c r="H28" s="6">
        <v>4.7999999999999996E-3</v>
      </c>
    </row>
    <row r="29" spans="1:8" x14ac:dyDescent="0.2">
      <c r="A29" s="6" t="s">
        <v>577</v>
      </c>
      <c r="B29" s="14" t="s">
        <v>512</v>
      </c>
      <c r="C29" s="14"/>
      <c r="D29" s="15">
        <v>0</v>
      </c>
      <c r="E29" s="14">
        <f t="shared" si="0"/>
        <v>0</v>
      </c>
      <c r="F29" s="14">
        <f t="shared" si="1"/>
        <v>0</v>
      </c>
      <c r="H29" s="6">
        <v>8.9999999999999993E-3</v>
      </c>
    </row>
    <row r="30" spans="1:8" x14ac:dyDescent="0.2">
      <c r="A30" s="6" t="s">
        <v>554</v>
      </c>
      <c r="B30" s="14" t="s">
        <v>512</v>
      </c>
      <c r="C30" s="14"/>
      <c r="D30" s="15">
        <v>0</v>
      </c>
      <c r="E30" s="14">
        <f t="shared" si="0"/>
        <v>0</v>
      </c>
      <c r="F30" s="14">
        <f t="shared" si="1"/>
        <v>0</v>
      </c>
      <c r="H30" s="6">
        <v>0.40625</v>
      </c>
    </row>
    <row r="31" spans="1:8" x14ac:dyDescent="0.2">
      <c r="A31" s="6" t="s">
        <v>578</v>
      </c>
      <c r="B31" s="14" t="s">
        <v>512</v>
      </c>
      <c r="C31" s="14"/>
      <c r="D31" s="15">
        <v>0</v>
      </c>
      <c r="E31" s="14">
        <f t="shared" si="0"/>
        <v>0</v>
      </c>
      <c r="F31" s="14">
        <f t="shared" si="1"/>
        <v>0</v>
      </c>
      <c r="H31" s="6">
        <v>3.0000000000000001E-3</v>
      </c>
    </row>
    <row r="32" spans="1:8" x14ac:dyDescent="0.2">
      <c r="A32" s="6" t="s">
        <v>579</v>
      </c>
      <c r="B32" s="14" t="s">
        <v>512</v>
      </c>
      <c r="C32" s="14"/>
      <c r="D32" s="15">
        <v>0</v>
      </c>
      <c r="E32" s="14">
        <f t="shared" si="0"/>
        <v>0</v>
      </c>
      <c r="F32" s="14">
        <f t="shared" si="1"/>
        <v>0</v>
      </c>
      <c r="H32" s="6">
        <v>7.1999999999999998E-3</v>
      </c>
    </row>
    <row r="33" spans="1:8" x14ac:dyDescent="0.2">
      <c r="A33" s="6" t="s">
        <v>580</v>
      </c>
      <c r="B33" s="14" t="s">
        <v>512</v>
      </c>
      <c r="C33" s="14"/>
      <c r="D33" s="15">
        <v>0</v>
      </c>
      <c r="E33" s="14">
        <f t="shared" si="0"/>
        <v>0</v>
      </c>
      <c r="F33" s="14">
        <f t="shared" si="1"/>
        <v>0</v>
      </c>
      <c r="H33" s="6">
        <v>6.4000000000000001E-2</v>
      </c>
    </row>
    <row r="34" spans="1:8" x14ac:dyDescent="0.2">
      <c r="A34" s="6" t="s">
        <v>645</v>
      </c>
      <c r="B34" s="16" t="s">
        <v>513</v>
      </c>
      <c r="C34" s="16"/>
      <c r="D34" s="15">
        <v>0</v>
      </c>
      <c r="E34" s="14">
        <f t="shared" ref="E34:E65" si="2">IF(H34&gt;1,1,0)</f>
        <v>0</v>
      </c>
      <c r="F34" s="14">
        <f t="shared" ref="F34:F65" si="3">IF(H34&lt;=0,1,)</f>
        <v>0</v>
      </c>
      <c r="H34" s="6">
        <v>6.5786700000000004E-2</v>
      </c>
    </row>
    <row r="35" spans="1:8" x14ac:dyDescent="0.2">
      <c r="A35" s="15" t="s">
        <v>527</v>
      </c>
      <c r="B35" s="14" t="s">
        <v>512</v>
      </c>
      <c r="C35" s="14"/>
      <c r="D35" s="15">
        <v>0</v>
      </c>
      <c r="E35" s="14">
        <f t="shared" si="2"/>
        <v>0</v>
      </c>
      <c r="F35" s="14">
        <f t="shared" si="3"/>
        <v>0</v>
      </c>
      <c r="G35" s="15"/>
      <c r="H35" s="15">
        <v>0.1152</v>
      </c>
    </row>
    <row r="36" spans="1:8" x14ac:dyDescent="0.2">
      <c r="A36" s="6" t="s">
        <v>581</v>
      </c>
      <c r="B36" s="14" t="s">
        <v>512</v>
      </c>
      <c r="C36" s="14"/>
      <c r="D36" s="15">
        <v>0</v>
      </c>
      <c r="E36" s="14">
        <f t="shared" si="2"/>
        <v>0</v>
      </c>
      <c r="F36" s="14">
        <f t="shared" si="3"/>
        <v>0</v>
      </c>
      <c r="H36" s="6">
        <v>1E-3</v>
      </c>
    </row>
    <row r="37" spans="1:8" x14ac:dyDescent="0.2">
      <c r="A37" s="6" t="s">
        <v>582</v>
      </c>
      <c r="B37" s="14" t="s">
        <v>512</v>
      </c>
      <c r="C37" s="14"/>
      <c r="D37" s="15">
        <v>0</v>
      </c>
      <c r="E37" s="14">
        <f t="shared" si="2"/>
        <v>0</v>
      </c>
      <c r="F37" s="14">
        <f t="shared" si="3"/>
        <v>0</v>
      </c>
      <c r="H37" s="6">
        <v>1.6992E-2</v>
      </c>
    </row>
    <row r="38" spans="1:8" x14ac:dyDescent="0.2">
      <c r="A38" s="13" t="s">
        <v>317</v>
      </c>
      <c r="B38" s="14" t="s">
        <v>512</v>
      </c>
      <c r="C38" s="14"/>
      <c r="D38" s="14">
        <v>1</v>
      </c>
      <c r="E38" s="14">
        <f t="shared" si="2"/>
        <v>0</v>
      </c>
      <c r="F38" s="14">
        <f t="shared" si="3"/>
        <v>0</v>
      </c>
      <c r="G38" s="14">
        <v>8.4239999999999995</v>
      </c>
      <c r="H38" s="6">
        <v>0.39742899999999998</v>
      </c>
    </row>
    <row r="39" spans="1:8" x14ac:dyDescent="0.2">
      <c r="A39" s="6" t="s">
        <v>583</v>
      </c>
      <c r="B39" s="14" t="s">
        <v>512</v>
      </c>
      <c r="C39" s="14"/>
      <c r="D39" s="15">
        <v>0</v>
      </c>
      <c r="E39" s="14">
        <f t="shared" si="2"/>
        <v>0</v>
      </c>
      <c r="F39" s="14">
        <f t="shared" si="3"/>
        <v>0</v>
      </c>
      <c r="H39" s="6">
        <v>0.38479049999999998</v>
      </c>
    </row>
    <row r="40" spans="1:8" x14ac:dyDescent="0.2">
      <c r="A40" s="6" t="s">
        <v>584</v>
      </c>
      <c r="B40" s="14" t="s">
        <v>512</v>
      </c>
      <c r="C40" s="14"/>
      <c r="D40" s="15">
        <v>0</v>
      </c>
      <c r="E40" s="14">
        <f t="shared" si="2"/>
        <v>0</v>
      </c>
      <c r="F40" s="14">
        <f t="shared" si="3"/>
        <v>0</v>
      </c>
      <c r="H40" s="6">
        <v>0.13600000000000001</v>
      </c>
    </row>
    <row r="41" spans="1:8" x14ac:dyDescent="0.2">
      <c r="A41" s="6" t="s">
        <v>646</v>
      </c>
      <c r="B41" s="16" t="s">
        <v>512</v>
      </c>
      <c r="C41" s="16"/>
      <c r="D41" s="15">
        <v>0</v>
      </c>
      <c r="E41" s="14">
        <f t="shared" si="2"/>
        <v>0</v>
      </c>
      <c r="F41" s="14">
        <f t="shared" si="3"/>
        <v>0</v>
      </c>
      <c r="H41" s="6">
        <v>5.7999999999999996E-3</v>
      </c>
    </row>
    <row r="42" spans="1:8" x14ac:dyDescent="0.2">
      <c r="A42" s="6" t="s">
        <v>585</v>
      </c>
      <c r="B42" s="14" t="s">
        <v>512</v>
      </c>
      <c r="C42" s="14"/>
      <c r="D42" s="15">
        <v>0</v>
      </c>
      <c r="E42" s="14">
        <f t="shared" si="2"/>
        <v>0</v>
      </c>
      <c r="F42" s="14">
        <f t="shared" si="3"/>
        <v>0</v>
      </c>
      <c r="H42" s="6">
        <v>3.3299000000000002E-2</v>
      </c>
    </row>
    <row r="43" spans="1:8" x14ac:dyDescent="0.2">
      <c r="A43" s="6" t="s">
        <v>586</v>
      </c>
      <c r="B43" s="14" t="s">
        <v>512</v>
      </c>
      <c r="C43" s="14"/>
      <c r="D43" s="15">
        <v>0</v>
      </c>
      <c r="E43" s="14">
        <f t="shared" si="2"/>
        <v>0</v>
      </c>
      <c r="F43" s="14">
        <f t="shared" si="3"/>
        <v>0</v>
      </c>
      <c r="H43" s="6">
        <v>0.13604959999999999</v>
      </c>
    </row>
    <row r="44" spans="1:8" x14ac:dyDescent="0.2">
      <c r="A44" s="6" t="s">
        <v>587</v>
      </c>
      <c r="B44" s="14" t="s">
        <v>512</v>
      </c>
      <c r="C44" s="14"/>
      <c r="D44" s="15">
        <v>0</v>
      </c>
      <c r="E44" s="14">
        <f t="shared" si="2"/>
        <v>0</v>
      </c>
      <c r="F44" s="14">
        <f t="shared" si="3"/>
        <v>0</v>
      </c>
      <c r="H44" s="6">
        <v>8.2100000000000006E-2</v>
      </c>
    </row>
    <row r="45" spans="1:8" x14ac:dyDescent="0.2">
      <c r="A45" s="6" t="s">
        <v>588</v>
      </c>
      <c r="B45" s="14" t="s">
        <v>512</v>
      </c>
      <c r="C45" s="14"/>
      <c r="D45" s="15">
        <v>0</v>
      </c>
      <c r="E45" s="14">
        <f t="shared" si="2"/>
        <v>0</v>
      </c>
      <c r="F45" s="14">
        <f t="shared" si="3"/>
        <v>0</v>
      </c>
      <c r="H45" s="6">
        <v>0.27104</v>
      </c>
    </row>
    <row r="46" spans="1:8" x14ac:dyDescent="0.2">
      <c r="A46" s="15" t="s">
        <v>528</v>
      </c>
      <c r="B46" s="14" t="s">
        <v>512</v>
      </c>
      <c r="C46" s="14"/>
      <c r="D46" s="15">
        <v>0</v>
      </c>
      <c r="E46" s="14">
        <f t="shared" si="2"/>
        <v>0</v>
      </c>
      <c r="F46" s="14">
        <f t="shared" si="3"/>
        <v>0</v>
      </c>
      <c r="G46" s="15"/>
      <c r="H46" s="15">
        <v>0.36</v>
      </c>
    </row>
    <row r="47" spans="1:8" x14ac:dyDescent="0.2">
      <c r="A47" s="6" t="s">
        <v>589</v>
      </c>
      <c r="B47" s="14" t="s">
        <v>512</v>
      </c>
      <c r="C47" s="14"/>
      <c r="D47" s="15">
        <v>0</v>
      </c>
      <c r="E47" s="14">
        <f t="shared" si="2"/>
        <v>0</v>
      </c>
      <c r="F47" s="14">
        <f t="shared" si="3"/>
        <v>0</v>
      </c>
      <c r="H47" s="6">
        <v>0.276731</v>
      </c>
    </row>
    <row r="48" spans="1:8" x14ac:dyDescent="0.2">
      <c r="A48" s="6" t="s">
        <v>590</v>
      </c>
      <c r="B48" s="14" t="s">
        <v>512</v>
      </c>
      <c r="C48" s="14"/>
      <c r="D48" s="15">
        <v>0</v>
      </c>
      <c r="E48" s="14">
        <f t="shared" si="2"/>
        <v>0</v>
      </c>
      <c r="F48" s="14">
        <f t="shared" si="3"/>
        <v>0</v>
      </c>
      <c r="H48" s="6">
        <v>3.3000000000000002E-2</v>
      </c>
    </row>
    <row r="49" spans="1:8" x14ac:dyDescent="0.2">
      <c r="A49" s="15" t="s">
        <v>529</v>
      </c>
      <c r="B49" s="14" t="s">
        <v>512</v>
      </c>
      <c r="C49" s="14"/>
      <c r="D49" s="15">
        <v>0</v>
      </c>
      <c r="E49" s="14">
        <f t="shared" si="2"/>
        <v>0</v>
      </c>
      <c r="F49" s="14">
        <f t="shared" si="3"/>
        <v>0</v>
      </c>
      <c r="G49" s="15"/>
      <c r="H49" s="15">
        <v>8.4966999999999994E-3</v>
      </c>
    </row>
    <row r="50" spans="1:8" x14ac:dyDescent="0.2">
      <c r="A50" s="15" t="s">
        <v>530</v>
      </c>
      <c r="B50" s="14" t="s">
        <v>512</v>
      </c>
      <c r="C50" s="14"/>
      <c r="D50" s="15">
        <v>0</v>
      </c>
      <c r="E50" s="14">
        <f t="shared" si="2"/>
        <v>0</v>
      </c>
      <c r="F50" s="14">
        <f t="shared" si="3"/>
        <v>0</v>
      </c>
      <c r="G50" s="15"/>
      <c r="H50" s="15">
        <v>0.74944900000000003</v>
      </c>
    </row>
    <row r="51" spans="1:8" x14ac:dyDescent="0.2">
      <c r="A51" s="15" t="s">
        <v>531</v>
      </c>
      <c r="B51" s="14" t="s">
        <v>512</v>
      </c>
      <c r="C51" s="14"/>
      <c r="D51" s="15">
        <v>0</v>
      </c>
      <c r="E51" s="14">
        <f t="shared" si="2"/>
        <v>0</v>
      </c>
      <c r="F51" s="14">
        <f t="shared" si="3"/>
        <v>0</v>
      </c>
      <c r="G51" s="15"/>
      <c r="H51" s="15">
        <v>6.4375000000000002E-2</v>
      </c>
    </row>
    <row r="52" spans="1:8" x14ac:dyDescent="0.2">
      <c r="A52" s="6" t="s">
        <v>591</v>
      </c>
      <c r="B52" s="14" t="s">
        <v>512</v>
      </c>
      <c r="C52" s="14"/>
      <c r="D52" s="15">
        <v>0</v>
      </c>
      <c r="E52" s="14">
        <f t="shared" si="2"/>
        <v>0</v>
      </c>
      <c r="F52" s="14">
        <f t="shared" si="3"/>
        <v>0</v>
      </c>
      <c r="H52" s="6">
        <v>5.3872000000000003E-2</v>
      </c>
    </row>
    <row r="53" spans="1:8" x14ac:dyDescent="0.2">
      <c r="A53" s="15" t="s">
        <v>532</v>
      </c>
      <c r="B53" s="14" t="s">
        <v>512</v>
      </c>
      <c r="C53" s="14"/>
      <c r="D53" s="15">
        <v>0</v>
      </c>
      <c r="E53" s="14">
        <f t="shared" si="2"/>
        <v>0</v>
      </c>
      <c r="F53" s="14">
        <f t="shared" si="3"/>
        <v>0</v>
      </c>
      <c r="G53" s="15"/>
      <c r="H53" s="15">
        <v>1.011E-3</v>
      </c>
    </row>
    <row r="54" spans="1:8" x14ac:dyDescent="0.2">
      <c r="A54" s="6" t="s">
        <v>592</v>
      </c>
      <c r="B54" s="14" t="s">
        <v>512</v>
      </c>
      <c r="C54" s="14"/>
      <c r="D54" s="15">
        <v>0</v>
      </c>
      <c r="E54" s="14">
        <f t="shared" si="2"/>
        <v>0</v>
      </c>
      <c r="F54" s="14">
        <f t="shared" si="3"/>
        <v>0</v>
      </c>
      <c r="H54" s="6">
        <v>4.2451999999999997E-2</v>
      </c>
    </row>
    <row r="55" spans="1:8" x14ac:dyDescent="0.2">
      <c r="A55" s="15" t="s">
        <v>503</v>
      </c>
      <c r="B55" s="14" t="s">
        <v>512</v>
      </c>
      <c r="C55" s="14"/>
      <c r="D55" s="15">
        <v>0</v>
      </c>
      <c r="E55" s="14">
        <f t="shared" si="2"/>
        <v>0</v>
      </c>
      <c r="F55" s="14">
        <f t="shared" si="3"/>
        <v>0</v>
      </c>
      <c r="H55" s="6">
        <v>0.372</v>
      </c>
    </row>
    <row r="56" spans="1:8" x14ac:dyDescent="0.2">
      <c r="A56" s="6" t="s">
        <v>533</v>
      </c>
      <c r="B56" s="14" t="s">
        <v>512</v>
      </c>
      <c r="C56" s="14"/>
      <c r="D56" s="15">
        <v>0</v>
      </c>
      <c r="E56" s="14">
        <f t="shared" si="2"/>
        <v>0</v>
      </c>
      <c r="F56" s="14">
        <f t="shared" si="3"/>
        <v>0</v>
      </c>
      <c r="H56" s="6">
        <v>0.31890960000000002</v>
      </c>
    </row>
    <row r="57" spans="1:8" x14ac:dyDescent="0.2">
      <c r="A57" s="6" t="s">
        <v>647</v>
      </c>
      <c r="B57" s="16" t="s">
        <v>512</v>
      </c>
      <c r="C57" s="16"/>
      <c r="D57" s="15">
        <v>0</v>
      </c>
      <c r="E57" s="14">
        <f t="shared" si="2"/>
        <v>0</v>
      </c>
      <c r="F57" s="14">
        <f t="shared" si="3"/>
        <v>0</v>
      </c>
      <c r="H57" s="6">
        <v>0.12271600000000001</v>
      </c>
    </row>
    <row r="58" spans="1:8" x14ac:dyDescent="0.2">
      <c r="A58" s="6" t="s">
        <v>593</v>
      </c>
      <c r="B58" s="14" t="s">
        <v>512</v>
      </c>
      <c r="C58" s="14"/>
      <c r="D58" s="15">
        <v>0</v>
      </c>
      <c r="E58" s="14">
        <f t="shared" si="2"/>
        <v>0</v>
      </c>
      <c r="F58" s="14">
        <f t="shared" si="3"/>
        <v>0</v>
      </c>
      <c r="H58" s="6">
        <v>1.6039000000000001E-2</v>
      </c>
    </row>
    <row r="59" spans="1:8" x14ac:dyDescent="0.2">
      <c r="A59" s="6" t="s">
        <v>594</v>
      </c>
      <c r="B59" s="14" t="s">
        <v>512</v>
      </c>
      <c r="C59" s="14"/>
      <c r="D59" s="15">
        <v>0</v>
      </c>
      <c r="E59" s="14">
        <f t="shared" si="2"/>
        <v>0</v>
      </c>
      <c r="F59" s="14">
        <f t="shared" si="3"/>
        <v>0</v>
      </c>
      <c r="H59" s="6">
        <v>4.7320000000000001E-3</v>
      </c>
    </row>
    <row r="60" spans="1:8" x14ac:dyDescent="0.2">
      <c r="A60" s="6" t="s">
        <v>595</v>
      </c>
      <c r="B60" s="14" t="s">
        <v>512</v>
      </c>
      <c r="C60" s="14"/>
      <c r="D60" s="15">
        <v>0</v>
      </c>
      <c r="E60" s="14">
        <f t="shared" si="2"/>
        <v>0</v>
      </c>
      <c r="F60" s="14">
        <f t="shared" si="3"/>
        <v>0</v>
      </c>
      <c r="H60" s="6">
        <v>0.248336</v>
      </c>
    </row>
    <row r="61" spans="1:8" x14ac:dyDescent="0.2">
      <c r="A61" s="6" t="s">
        <v>596</v>
      </c>
      <c r="B61" s="14" t="s">
        <v>512</v>
      </c>
      <c r="C61" s="14"/>
      <c r="D61" s="15">
        <v>0</v>
      </c>
      <c r="E61" s="14">
        <f t="shared" si="2"/>
        <v>0</v>
      </c>
      <c r="F61" s="14">
        <f t="shared" si="3"/>
        <v>0</v>
      </c>
      <c r="H61" s="6">
        <v>0.1558688</v>
      </c>
    </row>
    <row r="62" spans="1:8" x14ac:dyDescent="0.2">
      <c r="A62" s="6" t="s">
        <v>597</v>
      </c>
      <c r="B62" s="14" t="s">
        <v>512</v>
      </c>
      <c r="C62" s="14"/>
      <c r="D62" s="15">
        <v>0</v>
      </c>
      <c r="E62" s="14">
        <f t="shared" si="2"/>
        <v>0</v>
      </c>
      <c r="F62" s="14">
        <f t="shared" si="3"/>
        <v>0</v>
      </c>
      <c r="H62" s="6">
        <v>0.13761699999999999</v>
      </c>
    </row>
    <row r="63" spans="1:8" x14ac:dyDescent="0.2">
      <c r="A63" s="6" t="s">
        <v>598</v>
      </c>
      <c r="B63" s="14" t="s">
        <v>512</v>
      </c>
      <c r="C63" s="14"/>
      <c r="D63" s="15">
        <v>0</v>
      </c>
      <c r="E63" s="14">
        <f t="shared" si="2"/>
        <v>0</v>
      </c>
      <c r="F63" s="14">
        <f t="shared" si="3"/>
        <v>0</v>
      </c>
      <c r="H63" s="6">
        <v>8.0505000000000004E-3</v>
      </c>
    </row>
    <row r="64" spans="1:8" x14ac:dyDescent="0.2">
      <c r="A64" s="6" t="s">
        <v>599</v>
      </c>
      <c r="B64" s="14" t="s">
        <v>512</v>
      </c>
      <c r="C64" s="14"/>
      <c r="D64" s="15">
        <v>0</v>
      </c>
      <c r="E64" s="14">
        <f t="shared" si="2"/>
        <v>0</v>
      </c>
      <c r="F64" s="14">
        <f t="shared" si="3"/>
        <v>0</v>
      </c>
      <c r="H64" s="6">
        <v>3.4424999999999997E-2</v>
      </c>
    </row>
    <row r="65" spans="1:8" x14ac:dyDescent="0.2">
      <c r="A65" s="15" t="s">
        <v>534</v>
      </c>
      <c r="B65" s="14" t="s">
        <v>512</v>
      </c>
      <c r="C65" s="14"/>
      <c r="D65" s="15">
        <v>0</v>
      </c>
      <c r="E65" s="14">
        <f t="shared" si="2"/>
        <v>0</v>
      </c>
      <c r="F65" s="14">
        <f t="shared" si="3"/>
        <v>0</v>
      </c>
      <c r="G65" s="15"/>
      <c r="H65" s="15">
        <v>0.28399999999999997</v>
      </c>
    </row>
    <row r="66" spans="1:8" x14ac:dyDescent="0.2">
      <c r="A66" s="6" t="s">
        <v>600</v>
      </c>
      <c r="B66" s="14" t="s">
        <v>512</v>
      </c>
      <c r="C66" s="14"/>
      <c r="D66" s="15">
        <v>0</v>
      </c>
      <c r="E66" s="14">
        <f t="shared" ref="E66:E97" si="4">IF(H66&gt;1,1,0)</f>
        <v>0</v>
      </c>
      <c r="F66" s="14">
        <f t="shared" ref="F66:F97" si="5">IF(H66&lt;=0,1,)</f>
        <v>0</v>
      </c>
      <c r="H66" s="6">
        <v>7.5872999999999996E-2</v>
      </c>
    </row>
    <row r="67" spans="1:8" x14ac:dyDescent="0.2">
      <c r="A67" s="15" t="s">
        <v>535</v>
      </c>
      <c r="B67" s="14" t="s">
        <v>512</v>
      </c>
      <c r="C67" s="14"/>
      <c r="D67" s="15">
        <v>0</v>
      </c>
      <c r="E67" s="14">
        <f t="shared" si="4"/>
        <v>0</v>
      </c>
      <c r="F67" s="14">
        <f t="shared" si="5"/>
        <v>0</v>
      </c>
      <c r="G67" s="15"/>
      <c r="H67" s="15">
        <v>0.17571200000000001</v>
      </c>
    </row>
    <row r="68" spans="1:8" x14ac:dyDescent="0.2">
      <c r="A68" s="15" t="s">
        <v>536</v>
      </c>
      <c r="B68" s="14" t="s">
        <v>512</v>
      </c>
      <c r="C68" s="14"/>
      <c r="D68" s="15">
        <v>0</v>
      </c>
      <c r="E68" s="14">
        <f t="shared" si="4"/>
        <v>0</v>
      </c>
      <c r="F68" s="14">
        <f t="shared" si="5"/>
        <v>0</v>
      </c>
      <c r="G68" s="15"/>
      <c r="H68" s="15">
        <v>0.54981000000000002</v>
      </c>
    </row>
    <row r="69" spans="1:8" x14ac:dyDescent="0.2">
      <c r="A69" s="6" t="s">
        <v>601</v>
      </c>
      <c r="B69" s="14" t="s">
        <v>512</v>
      </c>
      <c r="C69" s="14"/>
      <c r="D69" s="15">
        <v>0</v>
      </c>
      <c r="E69" s="14">
        <f t="shared" si="4"/>
        <v>0</v>
      </c>
      <c r="F69" s="14">
        <f t="shared" si="5"/>
        <v>0</v>
      </c>
      <c r="H69" s="6">
        <v>1.5950000000000001E-3</v>
      </c>
    </row>
    <row r="70" spans="1:8" x14ac:dyDescent="0.2">
      <c r="A70" s="6" t="s">
        <v>602</v>
      </c>
      <c r="B70" s="14" t="s">
        <v>512</v>
      </c>
      <c r="C70" s="14"/>
      <c r="D70" s="15">
        <v>0</v>
      </c>
      <c r="E70" s="14">
        <f t="shared" si="4"/>
        <v>0</v>
      </c>
      <c r="F70" s="14">
        <f t="shared" si="5"/>
        <v>0</v>
      </c>
      <c r="H70" s="6">
        <v>0.15318200000000001</v>
      </c>
    </row>
    <row r="71" spans="1:8" x14ac:dyDescent="0.2">
      <c r="A71" s="6" t="s">
        <v>603</v>
      </c>
      <c r="B71" s="14" t="s">
        <v>512</v>
      </c>
      <c r="C71" s="14"/>
      <c r="D71" s="15">
        <v>0</v>
      </c>
      <c r="E71" s="14">
        <f t="shared" si="4"/>
        <v>0</v>
      </c>
      <c r="F71" s="14">
        <f t="shared" si="5"/>
        <v>0</v>
      </c>
      <c r="H71" s="6">
        <v>0.26934330000000001</v>
      </c>
    </row>
    <row r="72" spans="1:8" x14ac:dyDescent="0.2">
      <c r="A72" s="6" t="s">
        <v>604</v>
      </c>
      <c r="B72" s="14" t="s">
        <v>512</v>
      </c>
      <c r="C72" s="14"/>
      <c r="D72" s="15">
        <v>0</v>
      </c>
      <c r="E72" s="14">
        <f t="shared" si="4"/>
        <v>0</v>
      </c>
      <c r="F72" s="14">
        <f t="shared" si="5"/>
        <v>0</v>
      </c>
      <c r="H72" s="6">
        <v>3.3051200000000003E-2</v>
      </c>
    </row>
    <row r="73" spans="1:8" x14ac:dyDescent="0.2">
      <c r="A73" s="6" t="s">
        <v>605</v>
      </c>
      <c r="B73" s="14" t="s">
        <v>512</v>
      </c>
      <c r="C73" s="14"/>
      <c r="D73" s="15">
        <v>0</v>
      </c>
      <c r="E73" s="14">
        <f t="shared" si="4"/>
        <v>0</v>
      </c>
      <c r="F73" s="14">
        <f t="shared" si="5"/>
        <v>0</v>
      </c>
      <c r="H73" s="6">
        <v>3.5999999999999999E-3</v>
      </c>
    </row>
    <row r="74" spans="1:8" x14ac:dyDescent="0.2">
      <c r="A74" s="6" t="s">
        <v>606</v>
      </c>
      <c r="B74" s="14" t="s">
        <v>512</v>
      </c>
      <c r="C74" s="14"/>
      <c r="D74" s="15">
        <v>0</v>
      </c>
      <c r="E74" s="14">
        <f t="shared" si="4"/>
        <v>0</v>
      </c>
      <c r="F74" s="14">
        <f t="shared" si="5"/>
        <v>0</v>
      </c>
      <c r="H74" s="6">
        <v>0.25240430000000003</v>
      </c>
    </row>
    <row r="75" spans="1:8" x14ac:dyDescent="0.2">
      <c r="A75" s="6" t="s">
        <v>607</v>
      </c>
      <c r="B75" s="14" t="s">
        <v>512</v>
      </c>
      <c r="C75" s="14"/>
      <c r="D75" s="15">
        <v>0</v>
      </c>
      <c r="E75" s="14">
        <f t="shared" si="4"/>
        <v>0</v>
      </c>
      <c r="F75" s="14">
        <f t="shared" si="5"/>
        <v>0</v>
      </c>
      <c r="H75" s="6">
        <v>0.16694700000000001</v>
      </c>
    </row>
    <row r="76" spans="1:8" x14ac:dyDescent="0.2">
      <c r="A76" s="15" t="s">
        <v>537</v>
      </c>
      <c r="B76" s="14" t="s">
        <v>512</v>
      </c>
      <c r="C76" s="14"/>
      <c r="D76" s="15">
        <v>0</v>
      </c>
      <c r="E76" s="14">
        <f t="shared" si="4"/>
        <v>0</v>
      </c>
      <c r="F76" s="14">
        <f t="shared" si="5"/>
        <v>0</v>
      </c>
      <c r="G76" s="15"/>
      <c r="H76" s="15">
        <v>5.4080999999999997E-2</v>
      </c>
    </row>
    <row r="77" spans="1:8" x14ac:dyDescent="0.2">
      <c r="A77" s="6" t="s">
        <v>608</v>
      </c>
      <c r="B77" s="14" t="s">
        <v>512</v>
      </c>
      <c r="C77" s="14"/>
      <c r="D77" s="15">
        <v>0</v>
      </c>
      <c r="E77" s="14">
        <f t="shared" si="4"/>
        <v>0</v>
      </c>
      <c r="F77" s="14">
        <f t="shared" si="5"/>
        <v>0</v>
      </c>
      <c r="H77" s="6">
        <v>0.27894029999999997</v>
      </c>
    </row>
    <row r="78" spans="1:8" x14ac:dyDescent="0.2">
      <c r="A78" s="6" t="s">
        <v>609</v>
      </c>
      <c r="B78" s="14" t="s">
        <v>512</v>
      </c>
      <c r="C78" s="14"/>
      <c r="D78" s="15">
        <v>0</v>
      </c>
      <c r="E78" s="14">
        <f t="shared" si="4"/>
        <v>0</v>
      </c>
      <c r="F78" s="14">
        <f t="shared" si="5"/>
        <v>0</v>
      </c>
      <c r="H78" s="6">
        <v>0.91297899999999998</v>
      </c>
    </row>
    <row r="79" spans="1:8" x14ac:dyDescent="0.2">
      <c r="A79" s="15" t="s">
        <v>538</v>
      </c>
      <c r="B79" s="14" t="s">
        <v>512</v>
      </c>
      <c r="C79" s="14"/>
      <c r="D79" s="15">
        <v>0</v>
      </c>
      <c r="E79" s="14">
        <f t="shared" si="4"/>
        <v>0</v>
      </c>
      <c r="F79" s="14">
        <f t="shared" si="5"/>
        <v>0</v>
      </c>
      <c r="G79" s="15"/>
      <c r="H79" s="15">
        <v>4.6155099999999998E-2</v>
      </c>
    </row>
    <row r="80" spans="1:8" x14ac:dyDescent="0.2">
      <c r="A80" s="6" t="s">
        <v>610</v>
      </c>
      <c r="B80" s="14" t="s">
        <v>512</v>
      </c>
      <c r="C80" s="14"/>
      <c r="D80" s="15">
        <v>0</v>
      </c>
      <c r="E80" s="14">
        <f t="shared" si="4"/>
        <v>0</v>
      </c>
      <c r="F80" s="14">
        <f t="shared" si="5"/>
        <v>0</v>
      </c>
      <c r="H80" s="6">
        <v>2.9250000000000002E-2</v>
      </c>
    </row>
    <row r="81" spans="1:8" x14ac:dyDescent="0.2">
      <c r="A81" s="6" t="s">
        <v>556</v>
      </c>
      <c r="B81" s="14" t="s">
        <v>512</v>
      </c>
      <c r="C81" s="14"/>
      <c r="D81" s="15">
        <v>0</v>
      </c>
      <c r="E81" s="14">
        <f t="shared" si="4"/>
        <v>0</v>
      </c>
      <c r="F81" s="14">
        <f t="shared" si="5"/>
        <v>0</v>
      </c>
      <c r="H81" s="6">
        <v>0.88149270000000002</v>
      </c>
    </row>
    <row r="82" spans="1:8" x14ac:dyDescent="0.2">
      <c r="A82" s="15" t="s">
        <v>539</v>
      </c>
      <c r="B82" s="14" t="s">
        <v>512</v>
      </c>
      <c r="C82" s="14"/>
      <c r="D82" s="15">
        <v>0</v>
      </c>
      <c r="E82" s="14">
        <f t="shared" si="4"/>
        <v>0</v>
      </c>
      <c r="F82" s="14">
        <f t="shared" si="5"/>
        <v>0</v>
      </c>
      <c r="G82" s="15"/>
      <c r="H82" s="15">
        <v>0.8056875</v>
      </c>
    </row>
    <row r="83" spans="1:8" x14ac:dyDescent="0.2">
      <c r="A83" s="6" t="s">
        <v>611</v>
      </c>
      <c r="B83" s="14" t="s">
        <v>512</v>
      </c>
      <c r="C83" s="14"/>
      <c r="D83" s="15">
        <v>0</v>
      </c>
      <c r="E83" s="14">
        <f t="shared" si="4"/>
        <v>0</v>
      </c>
      <c r="F83" s="14">
        <f t="shared" si="5"/>
        <v>0</v>
      </c>
      <c r="H83" s="6">
        <v>9.2975000000000002E-3</v>
      </c>
    </row>
    <row r="84" spans="1:8" x14ac:dyDescent="0.2">
      <c r="A84" s="6" t="s">
        <v>612</v>
      </c>
      <c r="B84" s="14" t="s">
        <v>512</v>
      </c>
      <c r="C84" s="14"/>
      <c r="D84" s="15">
        <v>0</v>
      </c>
      <c r="E84" s="14">
        <f t="shared" si="4"/>
        <v>0</v>
      </c>
      <c r="F84" s="14">
        <f t="shared" si="5"/>
        <v>0</v>
      </c>
      <c r="H84" s="6">
        <v>0.12861040000000001</v>
      </c>
    </row>
    <row r="85" spans="1:8" x14ac:dyDescent="0.2">
      <c r="A85" s="6" t="s">
        <v>613</v>
      </c>
      <c r="B85" s="14" t="s">
        <v>512</v>
      </c>
      <c r="C85" s="14"/>
      <c r="D85" s="15">
        <v>0</v>
      </c>
      <c r="E85" s="14">
        <f t="shared" si="4"/>
        <v>0</v>
      </c>
      <c r="F85" s="14">
        <f t="shared" si="5"/>
        <v>0</v>
      </c>
      <c r="H85" s="6">
        <v>1.1989E-2</v>
      </c>
    </row>
    <row r="86" spans="1:8" x14ac:dyDescent="0.2">
      <c r="A86" s="6" t="s">
        <v>614</v>
      </c>
      <c r="B86" s="14" t="s">
        <v>512</v>
      </c>
      <c r="C86" s="14"/>
      <c r="D86" s="15">
        <v>0</v>
      </c>
      <c r="E86" s="14">
        <f t="shared" si="4"/>
        <v>0</v>
      </c>
      <c r="F86" s="14">
        <f t="shared" si="5"/>
        <v>0</v>
      </c>
      <c r="H86" s="6">
        <v>1.0800000000000001E-2</v>
      </c>
    </row>
    <row r="87" spans="1:8" x14ac:dyDescent="0.2">
      <c r="A87" s="15" t="s">
        <v>541</v>
      </c>
      <c r="B87" s="14" t="s">
        <v>512</v>
      </c>
      <c r="C87" s="14"/>
      <c r="D87" s="15">
        <v>0</v>
      </c>
      <c r="E87" s="14">
        <f t="shared" si="4"/>
        <v>0</v>
      </c>
      <c r="F87" s="14">
        <f t="shared" si="5"/>
        <v>0</v>
      </c>
      <c r="G87" s="15"/>
      <c r="H87" s="15">
        <v>5.2816000000000002E-2</v>
      </c>
    </row>
    <row r="88" spans="1:8" x14ac:dyDescent="0.2">
      <c r="A88" s="6" t="s">
        <v>615</v>
      </c>
      <c r="B88" s="14" t="s">
        <v>512</v>
      </c>
      <c r="C88" s="14"/>
      <c r="D88" s="15">
        <v>0</v>
      </c>
      <c r="E88" s="14">
        <f t="shared" si="4"/>
        <v>0</v>
      </c>
      <c r="F88" s="14">
        <f t="shared" si="5"/>
        <v>0</v>
      </c>
      <c r="H88" s="6">
        <v>6.8777000000000005E-2</v>
      </c>
    </row>
    <row r="89" spans="1:8" x14ac:dyDescent="0.2">
      <c r="A89" s="15" t="s">
        <v>542</v>
      </c>
      <c r="B89" s="14" t="s">
        <v>512</v>
      </c>
      <c r="C89" s="14"/>
      <c r="D89" s="15">
        <v>0</v>
      </c>
      <c r="E89" s="14">
        <f t="shared" si="4"/>
        <v>0</v>
      </c>
      <c r="F89" s="14">
        <f t="shared" si="5"/>
        <v>0</v>
      </c>
      <c r="G89" s="15"/>
      <c r="H89" s="15">
        <v>0.162606</v>
      </c>
    </row>
    <row r="90" spans="1:8" x14ac:dyDescent="0.2">
      <c r="A90" s="6" t="s">
        <v>648</v>
      </c>
      <c r="B90" s="16" t="s">
        <v>512</v>
      </c>
      <c r="C90" s="16"/>
      <c r="D90" s="15">
        <v>0</v>
      </c>
      <c r="E90" s="14">
        <f t="shared" si="4"/>
        <v>0</v>
      </c>
      <c r="F90" s="14">
        <f t="shared" si="5"/>
        <v>0</v>
      </c>
      <c r="H90" s="6">
        <v>7.6527600000000001E-2</v>
      </c>
    </row>
    <row r="91" spans="1:8" x14ac:dyDescent="0.2">
      <c r="A91" s="6" t="s">
        <v>616</v>
      </c>
      <c r="B91" s="14" t="s">
        <v>512</v>
      </c>
      <c r="C91" s="14"/>
      <c r="D91" s="15">
        <v>0</v>
      </c>
      <c r="E91" s="14">
        <f t="shared" si="4"/>
        <v>0</v>
      </c>
      <c r="F91" s="14">
        <f t="shared" si="5"/>
        <v>0</v>
      </c>
      <c r="H91" s="6">
        <v>1.9394999999999999E-2</v>
      </c>
    </row>
    <row r="92" spans="1:8" x14ac:dyDescent="0.2">
      <c r="A92" s="6" t="s">
        <v>649</v>
      </c>
      <c r="B92" s="16" t="s">
        <v>512</v>
      </c>
      <c r="C92" s="16"/>
      <c r="D92" s="15">
        <v>0</v>
      </c>
      <c r="E92" s="14">
        <f t="shared" si="4"/>
        <v>0</v>
      </c>
      <c r="F92" s="14">
        <f t="shared" si="5"/>
        <v>0</v>
      </c>
      <c r="H92" s="6">
        <v>1.2918999999999999E-3</v>
      </c>
    </row>
    <row r="93" spans="1:8" x14ac:dyDescent="0.2">
      <c r="A93" s="6" t="s">
        <v>617</v>
      </c>
      <c r="B93" s="14" t="s">
        <v>512</v>
      </c>
      <c r="C93" s="14"/>
      <c r="D93" s="15">
        <v>0</v>
      </c>
      <c r="E93" s="14">
        <f t="shared" si="4"/>
        <v>0</v>
      </c>
      <c r="F93" s="14">
        <f t="shared" si="5"/>
        <v>0</v>
      </c>
      <c r="H93" s="6">
        <v>5.3912000000000002E-2</v>
      </c>
    </row>
    <row r="94" spans="1:8" x14ac:dyDescent="0.2">
      <c r="A94" s="6" t="s">
        <v>618</v>
      </c>
      <c r="B94" s="14" t="s">
        <v>512</v>
      </c>
      <c r="C94" s="14"/>
      <c r="D94" s="15">
        <v>0</v>
      </c>
      <c r="E94" s="14">
        <f t="shared" si="4"/>
        <v>0</v>
      </c>
      <c r="F94" s="14">
        <f t="shared" si="5"/>
        <v>0</v>
      </c>
      <c r="H94" s="6">
        <v>0.11821039999999999</v>
      </c>
    </row>
    <row r="95" spans="1:8" x14ac:dyDescent="0.2">
      <c r="A95" s="6" t="s">
        <v>650</v>
      </c>
      <c r="B95" s="16" t="s">
        <v>512</v>
      </c>
      <c r="C95" s="16"/>
      <c r="D95" s="15">
        <v>0</v>
      </c>
      <c r="E95" s="14">
        <f t="shared" si="4"/>
        <v>0</v>
      </c>
      <c r="F95" s="14">
        <f t="shared" si="5"/>
        <v>0</v>
      </c>
      <c r="H95" s="6">
        <v>2.2470500000000001E-2</v>
      </c>
    </row>
    <row r="96" spans="1:8" x14ac:dyDescent="0.2">
      <c r="A96" s="6" t="s">
        <v>619</v>
      </c>
      <c r="B96" s="14" t="s">
        <v>512</v>
      </c>
      <c r="C96" s="14"/>
      <c r="D96" s="15">
        <v>0</v>
      </c>
      <c r="E96" s="14">
        <f t="shared" si="4"/>
        <v>0</v>
      </c>
      <c r="F96" s="14">
        <f t="shared" si="5"/>
        <v>0</v>
      </c>
      <c r="H96" s="6">
        <v>9.5250500000000002E-2</v>
      </c>
    </row>
    <row r="97" spans="1:8" x14ac:dyDescent="0.2">
      <c r="A97" s="15" t="s">
        <v>543</v>
      </c>
      <c r="B97" s="14" t="s">
        <v>512</v>
      </c>
      <c r="C97" s="14"/>
      <c r="D97" s="15">
        <v>0</v>
      </c>
      <c r="E97" s="14">
        <f t="shared" si="4"/>
        <v>0</v>
      </c>
      <c r="F97" s="14">
        <f t="shared" si="5"/>
        <v>0</v>
      </c>
      <c r="G97" s="15"/>
      <c r="H97" s="15">
        <v>0.18191599999999999</v>
      </c>
    </row>
    <row r="98" spans="1:8" x14ac:dyDescent="0.2">
      <c r="A98" s="6" t="s">
        <v>620</v>
      </c>
      <c r="B98" s="14" t="s">
        <v>512</v>
      </c>
      <c r="C98" s="14"/>
      <c r="D98" s="15">
        <v>0</v>
      </c>
      <c r="E98" s="14">
        <f t="shared" ref="E98:E132" si="6">IF(H98&gt;1,1,0)</f>
        <v>0</v>
      </c>
      <c r="F98" s="14">
        <f t="shared" ref="F98:F132" si="7">IF(H98&lt;=0,1,)</f>
        <v>0</v>
      </c>
      <c r="H98" s="6">
        <v>4.897E-2</v>
      </c>
    </row>
    <row r="99" spans="1:8" x14ac:dyDescent="0.2">
      <c r="A99" s="6" t="s">
        <v>621</v>
      </c>
      <c r="B99" s="14" t="s">
        <v>512</v>
      </c>
      <c r="C99" s="14"/>
      <c r="D99" s="15">
        <v>0</v>
      </c>
      <c r="E99" s="14">
        <f t="shared" si="6"/>
        <v>0</v>
      </c>
      <c r="F99" s="14">
        <f t="shared" si="7"/>
        <v>0</v>
      </c>
      <c r="H99" s="6">
        <v>8.4399999999999996E-3</v>
      </c>
    </row>
    <row r="100" spans="1:8" x14ac:dyDescent="0.2">
      <c r="A100" s="15" t="s">
        <v>544</v>
      </c>
      <c r="B100" s="14" t="s">
        <v>512</v>
      </c>
      <c r="C100" s="14"/>
      <c r="D100" s="15">
        <v>0</v>
      </c>
      <c r="E100" s="14">
        <f t="shared" si="6"/>
        <v>0</v>
      </c>
      <c r="F100" s="14">
        <f t="shared" si="7"/>
        <v>0</v>
      </c>
      <c r="G100" s="15"/>
      <c r="H100" s="15">
        <v>6.8071999999999994E-2</v>
      </c>
    </row>
    <row r="101" spans="1:8" x14ac:dyDescent="0.2">
      <c r="A101" s="15" t="s">
        <v>545</v>
      </c>
      <c r="B101" s="14" t="s">
        <v>512</v>
      </c>
      <c r="C101" s="14"/>
      <c r="D101" s="15">
        <v>0</v>
      </c>
      <c r="E101" s="14">
        <f t="shared" si="6"/>
        <v>0</v>
      </c>
      <c r="F101" s="14">
        <f t="shared" si="7"/>
        <v>0</v>
      </c>
      <c r="G101" s="15"/>
      <c r="H101" s="15">
        <v>9.7697500000000007E-2</v>
      </c>
    </row>
    <row r="102" spans="1:8" x14ac:dyDescent="0.2">
      <c r="A102" s="6" t="s">
        <v>651</v>
      </c>
      <c r="B102" s="16" t="s">
        <v>512</v>
      </c>
      <c r="C102" s="16"/>
      <c r="D102" s="15">
        <v>0</v>
      </c>
      <c r="E102" s="14">
        <f t="shared" si="6"/>
        <v>0</v>
      </c>
      <c r="F102" s="14">
        <f t="shared" si="7"/>
        <v>0</v>
      </c>
      <c r="H102" s="6">
        <v>9.2000000000000003E-4</v>
      </c>
    </row>
    <row r="103" spans="1:8" x14ac:dyDescent="0.2">
      <c r="A103" s="6" t="s">
        <v>622</v>
      </c>
      <c r="B103" s="14" t="s">
        <v>512</v>
      </c>
      <c r="C103" s="14"/>
      <c r="D103" s="15">
        <v>0</v>
      </c>
      <c r="E103" s="14">
        <f t="shared" si="6"/>
        <v>0</v>
      </c>
      <c r="F103" s="14">
        <f t="shared" si="7"/>
        <v>0</v>
      </c>
      <c r="H103" s="6">
        <v>0.26591999999999999</v>
      </c>
    </row>
    <row r="104" spans="1:8" x14ac:dyDescent="0.2">
      <c r="A104" s="6" t="s">
        <v>623</v>
      </c>
      <c r="B104" s="14" t="s">
        <v>512</v>
      </c>
      <c r="C104" s="14"/>
      <c r="D104" s="15">
        <v>0</v>
      </c>
      <c r="E104" s="14">
        <f t="shared" si="6"/>
        <v>0</v>
      </c>
      <c r="F104" s="14">
        <f t="shared" si="7"/>
        <v>0</v>
      </c>
      <c r="H104" s="6">
        <v>1.7999999999999999E-2</v>
      </c>
    </row>
    <row r="105" spans="1:8" x14ac:dyDescent="0.2">
      <c r="A105" s="6" t="s">
        <v>652</v>
      </c>
      <c r="B105" s="16" t="s">
        <v>512</v>
      </c>
      <c r="C105" s="16"/>
      <c r="D105" s="15">
        <v>0</v>
      </c>
      <c r="E105" s="14">
        <f t="shared" si="6"/>
        <v>0</v>
      </c>
      <c r="F105" s="14">
        <f t="shared" si="7"/>
        <v>0</v>
      </c>
      <c r="H105" s="6">
        <v>6.6144000000000003E-3</v>
      </c>
    </row>
    <row r="106" spans="1:8" x14ac:dyDescent="0.2">
      <c r="A106" s="6" t="s">
        <v>624</v>
      </c>
      <c r="B106" s="14" t="s">
        <v>512</v>
      </c>
      <c r="C106" s="14"/>
      <c r="D106" s="15">
        <v>0</v>
      </c>
      <c r="E106" s="14">
        <f t="shared" si="6"/>
        <v>0</v>
      </c>
      <c r="F106" s="14">
        <f t="shared" si="7"/>
        <v>0</v>
      </c>
      <c r="H106" s="6">
        <v>6.9340000000000001E-3</v>
      </c>
    </row>
    <row r="107" spans="1:8" x14ac:dyDescent="0.2">
      <c r="A107" s="6" t="s">
        <v>625</v>
      </c>
      <c r="B107" s="14" t="s">
        <v>512</v>
      </c>
      <c r="C107" s="14"/>
      <c r="D107" s="15">
        <v>0</v>
      </c>
      <c r="E107" s="14">
        <f t="shared" si="6"/>
        <v>0</v>
      </c>
      <c r="F107" s="14">
        <f t="shared" si="7"/>
        <v>0</v>
      </c>
      <c r="H107" s="6">
        <v>0.201101</v>
      </c>
    </row>
    <row r="108" spans="1:8" x14ac:dyDescent="0.2">
      <c r="A108" s="6" t="s">
        <v>626</v>
      </c>
      <c r="B108" s="14" t="s">
        <v>512</v>
      </c>
      <c r="C108" s="14"/>
      <c r="D108" s="15">
        <v>0</v>
      </c>
      <c r="E108" s="14">
        <f t="shared" si="6"/>
        <v>0</v>
      </c>
      <c r="F108" s="14">
        <f t="shared" si="7"/>
        <v>0</v>
      </c>
      <c r="H108" s="6">
        <v>0.53585000000000005</v>
      </c>
    </row>
    <row r="109" spans="1:8" x14ac:dyDescent="0.2">
      <c r="A109" s="6" t="s">
        <v>627</v>
      </c>
      <c r="B109" s="14" t="s">
        <v>512</v>
      </c>
      <c r="C109" s="14"/>
      <c r="D109" s="15">
        <v>0</v>
      </c>
      <c r="E109" s="14">
        <f t="shared" si="6"/>
        <v>0</v>
      </c>
      <c r="F109" s="14">
        <f t="shared" si="7"/>
        <v>0</v>
      </c>
      <c r="H109" s="6">
        <v>0.11517670000000001</v>
      </c>
    </row>
    <row r="110" spans="1:8" x14ac:dyDescent="0.2">
      <c r="A110" s="6" t="s">
        <v>628</v>
      </c>
      <c r="B110" s="14" t="s">
        <v>512</v>
      </c>
      <c r="C110" s="14"/>
      <c r="D110" s="15">
        <v>0</v>
      </c>
      <c r="E110" s="14">
        <f t="shared" si="6"/>
        <v>0</v>
      </c>
      <c r="F110" s="14">
        <f t="shared" si="7"/>
        <v>0</v>
      </c>
      <c r="H110" s="6">
        <v>0.97689300000000001</v>
      </c>
    </row>
    <row r="111" spans="1:8" x14ac:dyDescent="0.2">
      <c r="A111" s="6" t="s">
        <v>629</v>
      </c>
      <c r="B111" s="14" t="s">
        <v>512</v>
      </c>
      <c r="C111" s="14"/>
      <c r="D111" s="15">
        <v>0</v>
      </c>
      <c r="E111" s="14">
        <f t="shared" si="6"/>
        <v>0</v>
      </c>
      <c r="F111" s="14">
        <f t="shared" si="7"/>
        <v>0</v>
      </c>
      <c r="H111" s="6">
        <v>0.28878169999999997</v>
      </c>
    </row>
    <row r="112" spans="1:8" x14ac:dyDescent="0.2">
      <c r="A112" s="6" t="s">
        <v>630</v>
      </c>
      <c r="B112" s="14" t="s">
        <v>512</v>
      </c>
      <c r="C112" s="14"/>
      <c r="D112" s="15">
        <v>0</v>
      </c>
      <c r="E112" s="14">
        <f t="shared" si="6"/>
        <v>0</v>
      </c>
      <c r="F112" s="14">
        <f t="shared" si="7"/>
        <v>0</v>
      </c>
      <c r="H112" s="6">
        <v>0.19040699999999999</v>
      </c>
    </row>
    <row r="113" spans="1:8" x14ac:dyDescent="0.2">
      <c r="A113" s="15" t="s">
        <v>546</v>
      </c>
      <c r="B113" s="14" t="s">
        <v>512</v>
      </c>
      <c r="C113" s="14"/>
      <c r="D113" s="15">
        <v>0</v>
      </c>
      <c r="E113" s="14">
        <f t="shared" si="6"/>
        <v>0</v>
      </c>
      <c r="F113" s="14">
        <f t="shared" si="7"/>
        <v>0</v>
      </c>
      <c r="G113" s="15"/>
      <c r="H113" s="15">
        <v>8.4000000000000005E-2</v>
      </c>
    </row>
    <row r="114" spans="1:8" x14ac:dyDescent="0.2">
      <c r="A114" s="6" t="s">
        <v>552</v>
      </c>
      <c r="B114" s="14" t="s">
        <v>512</v>
      </c>
      <c r="C114" s="14"/>
      <c r="D114" s="15">
        <v>0</v>
      </c>
      <c r="E114" s="14">
        <f t="shared" si="6"/>
        <v>0</v>
      </c>
      <c r="F114" s="14">
        <f t="shared" si="7"/>
        <v>0</v>
      </c>
      <c r="H114" s="6">
        <v>0.29873100000000002</v>
      </c>
    </row>
    <row r="115" spans="1:8" x14ac:dyDescent="0.2">
      <c r="A115" s="6" t="s">
        <v>631</v>
      </c>
      <c r="B115" s="14" t="s">
        <v>512</v>
      </c>
      <c r="C115" s="14"/>
      <c r="D115" s="15">
        <v>0</v>
      </c>
      <c r="E115" s="14">
        <f t="shared" si="6"/>
        <v>0</v>
      </c>
      <c r="F115" s="14">
        <f t="shared" si="7"/>
        <v>0</v>
      </c>
      <c r="H115" s="6">
        <v>8.7509000000000007E-3</v>
      </c>
    </row>
    <row r="116" spans="1:8" x14ac:dyDescent="0.2">
      <c r="A116" s="6" t="s">
        <v>632</v>
      </c>
      <c r="B116" s="14" t="s">
        <v>512</v>
      </c>
      <c r="C116" s="14"/>
      <c r="D116" s="15">
        <v>0</v>
      </c>
      <c r="E116" s="14">
        <f t="shared" si="6"/>
        <v>0</v>
      </c>
      <c r="F116" s="14">
        <f t="shared" si="7"/>
        <v>0</v>
      </c>
      <c r="H116" s="6">
        <v>0.1651</v>
      </c>
    </row>
    <row r="117" spans="1:8" x14ac:dyDescent="0.2">
      <c r="A117" s="15" t="s">
        <v>547</v>
      </c>
      <c r="B117" s="14" t="s">
        <v>512</v>
      </c>
      <c r="C117" s="14"/>
      <c r="D117" s="15">
        <v>0</v>
      </c>
      <c r="E117" s="14">
        <f t="shared" si="6"/>
        <v>0</v>
      </c>
      <c r="F117" s="14">
        <f t="shared" si="7"/>
        <v>0</v>
      </c>
      <c r="G117" s="15"/>
      <c r="H117" s="15">
        <v>0.16253200000000001</v>
      </c>
    </row>
    <row r="118" spans="1:8" x14ac:dyDescent="0.2">
      <c r="A118" s="6" t="s">
        <v>633</v>
      </c>
      <c r="B118" s="14" t="s">
        <v>512</v>
      </c>
      <c r="C118" s="14"/>
      <c r="D118" s="15">
        <v>0</v>
      </c>
      <c r="E118" s="14">
        <f t="shared" si="6"/>
        <v>0</v>
      </c>
      <c r="F118" s="14">
        <f t="shared" si="7"/>
        <v>0</v>
      </c>
      <c r="H118" s="6">
        <v>7.2374999999999995E-2</v>
      </c>
    </row>
    <row r="119" spans="1:8" x14ac:dyDescent="0.2">
      <c r="A119" s="6" t="s">
        <v>634</v>
      </c>
      <c r="B119" s="14" t="s">
        <v>512</v>
      </c>
      <c r="C119" s="14"/>
      <c r="D119" s="15">
        <v>0</v>
      </c>
      <c r="E119" s="14">
        <f t="shared" si="6"/>
        <v>0</v>
      </c>
      <c r="F119" s="14">
        <f t="shared" si="7"/>
        <v>0</v>
      </c>
      <c r="H119" s="6">
        <v>9.9205199999999993E-2</v>
      </c>
    </row>
    <row r="120" spans="1:8" x14ac:dyDescent="0.2">
      <c r="A120" s="6" t="s">
        <v>653</v>
      </c>
      <c r="B120" s="16" t="s">
        <v>512</v>
      </c>
      <c r="C120" s="16"/>
      <c r="D120" s="15">
        <v>0</v>
      </c>
      <c r="E120" s="14">
        <f t="shared" si="6"/>
        <v>0</v>
      </c>
      <c r="F120" s="14">
        <f t="shared" si="7"/>
        <v>0</v>
      </c>
      <c r="H120" s="6">
        <v>0.111</v>
      </c>
    </row>
    <row r="121" spans="1:8" x14ac:dyDescent="0.2">
      <c r="A121" s="6" t="s">
        <v>635</v>
      </c>
      <c r="B121" s="14" t="s">
        <v>512</v>
      </c>
      <c r="C121" s="14"/>
      <c r="D121" s="15">
        <v>0</v>
      </c>
      <c r="E121" s="14">
        <f t="shared" si="6"/>
        <v>0</v>
      </c>
      <c r="F121" s="14">
        <f t="shared" si="7"/>
        <v>0</v>
      </c>
      <c r="H121" s="6">
        <v>3.5999999999999999E-3</v>
      </c>
    </row>
    <row r="122" spans="1:8" x14ac:dyDescent="0.2">
      <c r="A122" s="15" t="s">
        <v>548</v>
      </c>
      <c r="B122" s="14" t="s">
        <v>512</v>
      </c>
      <c r="C122" s="14"/>
      <c r="D122" s="15">
        <v>0</v>
      </c>
      <c r="E122" s="14">
        <f t="shared" si="6"/>
        <v>0</v>
      </c>
      <c r="F122" s="14">
        <f t="shared" si="7"/>
        <v>0</v>
      </c>
      <c r="G122" s="15"/>
      <c r="H122" s="15">
        <v>0.01</v>
      </c>
    </row>
    <row r="123" spans="1:8" x14ac:dyDescent="0.2">
      <c r="A123" s="6" t="s">
        <v>636</v>
      </c>
      <c r="B123" s="14" t="s">
        <v>512</v>
      </c>
      <c r="C123" s="14"/>
      <c r="D123" s="15">
        <v>0</v>
      </c>
      <c r="E123" s="14">
        <f t="shared" si="6"/>
        <v>0</v>
      </c>
      <c r="F123" s="14">
        <f t="shared" si="7"/>
        <v>0</v>
      </c>
      <c r="H123" s="6">
        <v>2.04505E-2</v>
      </c>
    </row>
    <row r="124" spans="1:8" x14ac:dyDescent="0.2">
      <c r="A124" s="6" t="s">
        <v>637</v>
      </c>
      <c r="B124" s="14" t="s">
        <v>512</v>
      </c>
      <c r="C124" s="14"/>
      <c r="D124" s="15">
        <v>0</v>
      </c>
      <c r="E124" s="14">
        <f t="shared" si="6"/>
        <v>0</v>
      </c>
      <c r="F124" s="14">
        <f t="shared" si="7"/>
        <v>0</v>
      </c>
      <c r="H124" s="6">
        <v>2.6599999999999999E-2</v>
      </c>
    </row>
    <row r="125" spans="1:8" x14ac:dyDescent="0.2">
      <c r="A125" s="6" t="s">
        <v>639</v>
      </c>
      <c r="B125" s="14" t="s">
        <v>512</v>
      </c>
      <c r="C125" s="14"/>
      <c r="D125" s="15">
        <v>0</v>
      </c>
      <c r="E125" s="14">
        <f t="shared" si="6"/>
        <v>0</v>
      </c>
      <c r="F125" s="14">
        <f t="shared" si="7"/>
        <v>0</v>
      </c>
      <c r="H125" s="6">
        <v>8.7485999999999994E-2</v>
      </c>
    </row>
    <row r="126" spans="1:8" x14ac:dyDescent="0.2">
      <c r="A126" s="6" t="s">
        <v>654</v>
      </c>
      <c r="B126" s="16" t="s">
        <v>512</v>
      </c>
      <c r="C126" s="16"/>
      <c r="D126" s="15">
        <v>0</v>
      </c>
      <c r="E126" s="14">
        <f t="shared" si="6"/>
        <v>0</v>
      </c>
      <c r="F126" s="14">
        <f t="shared" si="7"/>
        <v>0</v>
      </c>
      <c r="H126" s="6">
        <v>1.8929000000000001E-3</v>
      </c>
    </row>
    <row r="127" spans="1:8" x14ac:dyDescent="0.2">
      <c r="A127" s="6" t="s">
        <v>640</v>
      </c>
      <c r="B127" s="14" t="s">
        <v>512</v>
      </c>
      <c r="C127" s="14"/>
      <c r="D127" s="15">
        <v>0</v>
      </c>
      <c r="E127" s="14">
        <f t="shared" si="6"/>
        <v>0</v>
      </c>
      <c r="F127" s="14">
        <f t="shared" si="7"/>
        <v>0</v>
      </c>
      <c r="H127" s="6">
        <v>8.2000000000000007E-3</v>
      </c>
    </row>
    <row r="128" spans="1:8" x14ac:dyDescent="0.2">
      <c r="A128" s="6" t="s">
        <v>641</v>
      </c>
      <c r="B128" s="14" t="s">
        <v>512</v>
      </c>
      <c r="C128" s="14"/>
      <c r="D128" s="15">
        <v>0</v>
      </c>
      <c r="E128" s="14">
        <f t="shared" si="6"/>
        <v>0</v>
      </c>
      <c r="F128" s="14">
        <f t="shared" si="7"/>
        <v>0</v>
      </c>
      <c r="H128" s="6">
        <v>1.4862E-2</v>
      </c>
    </row>
    <row r="129" spans="1:8" x14ac:dyDescent="0.2">
      <c r="A129" s="15" t="s">
        <v>549</v>
      </c>
      <c r="B129" s="14" t="s">
        <v>512</v>
      </c>
      <c r="C129" s="14"/>
      <c r="D129" s="15">
        <v>0</v>
      </c>
      <c r="E129" s="14">
        <f t="shared" si="6"/>
        <v>0</v>
      </c>
      <c r="F129" s="14">
        <f t="shared" si="7"/>
        <v>0</v>
      </c>
      <c r="G129" s="15"/>
      <c r="H129" s="15">
        <v>0.28399999999999997</v>
      </c>
    </row>
    <row r="130" spans="1:8" x14ac:dyDescent="0.2">
      <c r="A130" s="15" t="s">
        <v>550</v>
      </c>
      <c r="B130" s="14" t="s">
        <v>512</v>
      </c>
      <c r="C130" s="14"/>
      <c r="D130" s="15">
        <v>0</v>
      </c>
      <c r="E130" s="14">
        <f t="shared" si="6"/>
        <v>0</v>
      </c>
      <c r="F130" s="14">
        <f t="shared" si="7"/>
        <v>0</v>
      </c>
      <c r="G130" s="15"/>
      <c r="H130" s="15">
        <v>8.1426999999999999E-2</v>
      </c>
    </row>
    <row r="131" spans="1:8" x14ac:dyDescent="0.2">
      <c r="A131" s="6" t="s">
        <v>638</v>
      </c>
      <c r="B131" s="14" t="s">
        <v>512</v>
      </c>
      <c r="C131" s="14"/>
      <c r="D131" s="15">
        <v>0</v>
      </c>
      <c r="E131" s="14">
        <f t="shared" si="6"/>
        <v>0</v>
      </c>
      <c r="F131" s="14">
        <f t="shared" si="7"/>
        <v>0</v>
      </c>
      <c r="H131" s="6">
        <v>3.9981999999999997E-2</v>
      </c>
    </row>
    <row r="132" spans="1:8" x14ac:dyDescent="0.2">
      <c r="A132" s="6" t="s">
        <v>642</v>
      </c>
      <c r="B132" s="14" t="s">
        <v>512</v>
      </c>
      <c r="C132" s="14"/>
      <c r="D132" s="15">
        <v>0</v>
      </c>
      <c r="E132" s="14">
        <f t="shared" si="6"/>
        <v>0</v>
      </c>
      <c r="F132" s="14">
        <f t="shared" si="7"/>
        <v>0</v>
      </c>
      <c r="H132" s="6">
        <v>1.7999999999999999E-2</v>
      </c>
    </row>
    <row r="133" spans="1:8" s="10" customFormat="1" ht="15" x14ac:dyDescent="0.25">
      <c r="A133" s="59" t="s">
        <v>686</v>
      </c>
      <c r="B133" s="10">
        <f>COUNTA(B2:B132)</f>
        <v>131</v>
      </c>
      <c r="H133" s="10">
        <f>SUM(H2:H132)</f>
        <v>22.0018627</v>
      </c>
    </row>
    <row r="135" spans="1:8" x14ac:dyDescent="0.2">
      <c r="H135" s="6">
        <f>H133/B133</f>
        <v>0.16795315038167938</v>
      </c>
    </row>
    <row r="137" spans="1:8" x14ac:dyDescent="0.2">
      <c r="H137" s="6">
        <f>MIN(H2:H132)</f>
        <v>9.2000000000000003E-4</v>
      </c>
    </row>
    <row r="138" spans="1:8" x14ac:dyDescent="0.2">
      <c r="H138" s="6">
        <f>MAX(H2:H132)</f>
        <v>0.97689300000000001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27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A24" sqref="AA24"/>
    </sheetView>
  </sheetViews>
  <sheetFormatPr defaultRowHeight="14.25" x14ac:dyDescent="0.2"/>
  <cols>
    <col min="1" max="1" width="30.25" customWidth="1"/>
    <col min="2" max="2" width="10" bestFit="1" customWidth="1"/>
    <col min="3" max="3" width="10" style="6" customWidth="1"/>
    <col min="4" max="5" width="9.125" bestFit="1" customWidth="1"/>
    <col min="6" max="7" width="9.125" style="5" bestFit="1" customWidth="1"/>
    <col min="8" max="8" width="8.5" style="5" customWidth="1"/>
    <col min="9" max="11" width="9.125" style="5" bestFit="1" customWidth="1"/>
    <col min="12" max="12" width="9.125" bestFit="1" customWidth="1"/>
    <col min="13" max="13" width="11.75" style="5" bestFit="1" customWidth="1"/>
    <col min="14" max="14" width="12.625" bestFit="1" customWidth="1"/>
    <col min="15" max="15" width="12.125" bestFit="1" customWidth="1"/>
    <col min="16" max="16" width="11.75" bestFit="1" customWidth="1"/>
    <col min="17" max="17" width="9.125" style="5" bestFit="1" customWidth="1"/>
    <col min="18" max="18" width="7.25" customWidth="1"/>
    <col min="19" max="19" width="12.125" customWidth="1"/>
    <col min="20" max="20" width="9.125" bestFit="1" customWidth="1"/>
    <col min="21" max="21" width="11.625" bestFit="1" customWidth="1"/>
    <col min="22" max="22" width="9.125" bestFit="1" customWidth="1"/>
    <col min="23" max="23" width="9" style="5"/>
    <col min="24" max="24" width="9" style="6"/>
    <col min="25" max="25" width="9" style="5"/>
  </cols>
  <sheetData>
    <row r="1" spans="1:29" ht="101.25" customHeight="1" x14ac:dyDescent="0.2">
      <c r="A1" s="12" t="s">
        <v>413</v>
      </c>
      <c r="B1" s="12" t="s">
        <v>1</v>
      </c>
      <c r="C1" s="12" t="s">
        <v>683</v>
      </c>
      <c r="D1" s="12" t="s">
        <v>338</v>
      </c>
      <c r="E1" s="12" t="s">
        <v>680</v>
      </c>
      <c r="F1" s="114" t="s">
        <v>315</v>
      </c>
      <c r="G1" s="114" t="s">
        <v>342</v>
      </c>
      <c r="H1" s="114" t="s">
        <v>343</v>
      </c>
      <c r="I1" s="114" t="s">
        <v>339</v>
      </c>
      <c r="J1" s="114" t="s">
        <v>340</v>
      </c>
      <c r="K1" s="114" t="s">
        <v>19</v>
      </c>
      <c r="L1" s="12" t="s">
        <v>988</v>
      </c>
      <c r="M1" s="114" t="s">
        <v>990</v>
      </c>
      <c r="N1" s="12" t="s">
        <v>350</v>
      </c>
      <c r="O1" s="12" t="s">
        <v>344</v>
      </c>
      <c r="P1" s="12" t="s">
        <v>341</v>
      </c>
      <c r="Q1" s="114" t="s">
        <v>21</v>
      </c>
      <c r="R1" s="12" t="s">
        <v>345</v>
      </c>
      <c r="S1" s="12" t="s">
        <v>346</v>
      </c>
      <c r="T1" s="12" t="s">
        <v>348</v>
      </c>
      <c r="U1" s="12" t="s">
        <v>349</v>
      </c>
      <c r="V1" s="12" t="s">
        <v>351</v>
      </c>
      <c r="W1" s="114" t="s">
        <v>684</v>
      </c>
      <c r="X1" s="12" t="s">
        <v>989</v>
      </c>
      <c r="Y1" s="114" t="s">
        <v>1042</v>
      </c>
      <c r="Z1" s="12" t="s">
        <v>409</v>
      </c>
      <c r="AA1" s="12" t="s">
        <v>448</v>
      </c>
      <c r="AB1" s="12" t="s">
        <v>992</v>
      </c>
      <c r="AC1" s="12" t="s">
        <v>991</v>
      </c>
    </row>
    <row r="2" spans="1:29" x14ac:dyDescent="0.2">
      <c r="A2" s="13" t="s">
        <v>364</v>
      </c>
      <c r="B2" s="14" t="s">
        <v>512</v>
      </c>
      <c r="C2" s="14"/>
      <c r="D2" s="14">
        <v>0</v>
      </c>
      <c r="E2" s="14">
        <f t="shared" ref="E2:E21" si="0">IF(G2&gt;1,1,0)</f>
        <v>1</v>
      </c>
      <c r="F2" s="17">
        <v>134.184</v>
      </c>
      <c r="G2" s="19">
        <v>1.2021390000000001</v>
      </c>
      <c r="H2" s="115">
        <f t="shared" ref="H2:H8" si="1">G2/F2</f>
        <v>8.9588848148810588E-3</v>
      </c>
      <c r="I2" s="17">
        <v>99</v>
      </c>
      <c r="J2" s="17">
        <v>99</v>
      </c>
      <c r="K2" s="115">
        <f>46/I2</f>
        <v>0.46464646464646464</v>
      </c>
      <c r="L2" s="91">
        <v>6.3120000000000003</v>
      </c>
      <c r="M2" s="120">
        <f>IF(L2&gt;0,H2*L2,)</f>
        <v>5.6548480951529242E-2</v>
      </c>
      <c r="N2" s="14">
        <v>-1.327</v>
      </c>
      <c r="O2" s="14">
        <f t="shared" ref="O2:O19" si="2">N2/I2</f>
        <v>-1.3404040404040404E-2</v>
      </c>
      <c r="P2" s="14">
        <f>F2/I2</f>
        <v>1.3553939393939394</v>
      </c>
      <c r="Q2" s="17">
        <f t="shared" ref="Q2:Q19" si="3">J2*H2</f>
        <v>0.8869295966732248</v>
      </c>
      <c r="R2" s="14">
        <v>48.122</v>
      </c>
      <c r="S2" s="14">
        <v>23.018000000000001</v>
      </c>
      <c r="T2" s="14">
        <v>0</v>
      </c>
      <c r="U2" s="14">
        <f t="shared" ref="U2:U19" si="4">T2*H2</f>
        <v>0</v>
      </c>
      <c r="V2" s="14"/>
      <c r="W2" s="17">
        <f t="shared" ref="W2:W19" si="5">SUM(R2:S2)*H2</f>
        <v>0.63733506573063847</v>
      </c>
      <c r="X2" s="94">
        <f>W2+IF(M2&gt;0,M2,0)</f>
        <v>0.69388354668216767</v>
      </c>
      <c r="Y2" s="115">
        <f>X2/G2</f>
        <v>0.57720741668157149</v>
      </c>
      <c r="Z2" s="14">
        <v>1</v>
      </c>
      <c r="AB2" s="89">
        <f>W2/G2</f>
        <v>0.53016753115125492</v>
      </c>
      <c r="AC2" s="89">
        <f>M2/G2</f>
        <v>4.7039885530316579E-2</v>
      </c>
    </row>
    <row r="3" spans="1:29" x14ac:dyDescent="0.2">
      <c r="A3" s="13" t="s">
        <v>682</v>
      </c>
      <c r="B3" s="14" t="s">
        <v>512</v>
      </c>
      <c r="C3" s="14"/>
      <c r="D3" s="14">
        <v>0</v>
      </c>
      <c r="E3" s="14">
        <f t="shared" si="0"/>
        <v>1</v>
      </c>
      <c r="F3" s="17">
        <v>3333.0909999999999</v>
      </c>
      <c r="G3" s="19">
        <v>11.192094000000001</v>
      </c>
      <c r="H3" s="115">
        <f t="shared" si="1"/>
        <v>3.3578723173174692E-3</v>
      </c>
      <c r="I3" s="17">
        <v>2240</v>
      </c>
      <c r="J3" s="17">
        <v>2240</v>
      </c>
      <c r="K3" s="115">
        <f>1-0.53</f>
        <v>0.47</v>
      </c>
      <c r="L3" s="91">
        <v>453.32499999999999</v>
      </c>
      <c r="M3" s="120">
        <f t="shared" ref="M3:M19" si="6">IF(L3&gt;0,H3*L3,)</f>
        <v>1.5222074682479416</v>
      </c>
      <c r="N3" s="14">
        <v>329.298</v>
      </c>
      <c r="O3" s="14">
        <f t="shared" si="2"/>
        <v>0.14700803571428572</v>
      </c>
      <c r="P3" s="14">
        <f t="shared" ref="P3:P19" si="7">F3/I3</f>
        <v>1.4879870535714286</v>
      </c>
      <c r="Q3" s="17">
        <f t="shared" si="3"/>
        <v>7.5216339907911314</v>
      </c>
      <c r="R3" s="14">
        <v>1128.539</v>
      </c>
      <c r="S3" s="14">
        <v>387.08199999999999</v>
      </c>
      <c r="T3" s="14">
        <v>123.261</v>
      </c>
      <c r="U3" s="14">
        <f t="shared" si="4"/>
        <v>0.41389469970486853</v>
      </c>
      <c r="V3" s="14">
        <v>27.93</v>
      </c>
      <c r="W3" s="17">
        <f t="shared" si="5"/>
        <v>5.08926179944502</v>
      </c>
      <c r="X3" s="94">
        <f t="shared" ref="X3:X19" si="8">W3+IF(M3&gt;0,M3,0)</f>
        <v>6.6114692676929616</v>
      </c>
      <c r="Y3" s="115">
        <f t="shared" ref="Y3:Y19" si="9">X3/G3</f>
        <v>0.5907267458344222</v>
      </c>
      <c r="Z3" s="14">
        <v>0</v>
      </c>
      <c r="AB3" s="89">
        <f t="shared" ref="AB3:AB19" si="10">W3/G3</f>
        <v>0.45471935809733366</v>
      </c>
      <c r="AC3" s="89">
        <f t="shared" ref="AC3:AC19" si="11">M3/G3</f>
        <v>0.13600738773708848</v>
      </c>
    </row>
    <row r="4" spans="1:29" x14ac:dyDescent="0.2">
      <c r="A4" s="13" t="s">
        <v>362</v>
      </c>
      <c r="B4" s="14" t="s">
        <v>512</v>
      </c>
      <c r="C4" s="14"/>
      <c r="D4" s="14">
        <v>0</v>
      </c>
      <c r="E4" s="14">
        <f t="shared" si="0"/>
        <v>1</v>
      </c>
      <c r="F4" s="17">
        <v>29.232164000000001</v>
      </c>
      <c r="G4" s="19">
        <v>1.4446589999999999</v>
      </c>
      <c r="H4" s="115">
        <f t="shared" si="1"/>
        <v>4.9420186613621894E-2</v>
      </c>
      <c r="I4" s="17">
        <v>27</v>
      </c>
      <c r="J4" s="17">
        <v>27</v>
      </c>
      <c r="K4" s="115">
        <f>13/I4</f>
        <v>0.48148148148148145</v>
      </c>
      <c r="L4" s="91">
        <v>1.1814309999999999</v>
      </c>
      <c r="M4" s="120">
        <f t="shared" si="6"/>
        <v>5.8386540491117925E-2</v>
      </c>
      <c r="N4" s="14">
        <v>0.88757299999999995</v>
      </c>
      <c r="O4" s="14">
        <f t="shared" si="2"/>
        <v>3.2873074074074075E-2</v>
      </c>
      <c r="P4" s="14">
        <f t="shared" si="7"/>
        <v>1.0826727407407408</v>
      </c>
      <c r="Q4" s="17">
        <f t="shared" si="3"/>
        <v>1.3343450385677911</v>
      </c>
      <c r="R4" s="14">
        <v>11.65541</v>
      </c>
      <c r="S4" s="14">
        <v>3.8674770000000001</v>
      </c>
      <c r="T4" s="14">
        <v>0.28887699999999999</v>
      </c>
      <c r="U4" s="14">
        <f t="shared" si="4"/>
        <v>1.4276355248383252E-2</v>
      </c>
      <c r="V4" s="14"/>
      <c r="W4" s="17">
        <f t="shared" si="5"/>
        <v>0.76714397232216536</v>
      </c>
      <c r="X4" s="94">
        <f t="shared" si="8"/>
        <v>0.82553051281328327</v>
      </c>
      <c r="Y4" s="115">
        <f t="shared" si="9"/>
        <v>0.57143624399479964</v>
      </c>
      <c r="Z4" s="14">
        <v>1</v>
      </c>
      <c r="AB4" s="89">
        <f t="shared" si="10"/>
        <v>0.53102079613401187</v>
      </c>
      <c r="AC4" s="89">
        <f t="shared" si="11"/>
        <v>4.0415447860787858E-2</v>
      </c>
    </row>
    <row r="5" spans="1:29" x14ac:dyDescent="0.2">
      <c r="A5" s="13" t="s">
        <v>367</v>
      </c>
      <c r="B5" s="14" t="s">
        <v>512</v>
      </c>
      <c r="C5" s="14"/>
      <c r="D5" s="14">
        <v>1</v>
      </c>
      <c r="E5" s="14">
        <f t="shared" si="0"/>
        <v>1</v>
      </c>
      <c r="F5" s="17">
        <v>856.48599999999999</v>
      </c>
      <c r="G5" s="19">
        <v>1.246499</v>
      </c>
      <c r="H5" s="116">
        <f t="shared" si="1"/>
        <v>1.4553641273762795E-3</v>
      </c>
      <c r="I5" s="17">
        <v>702</v>
      </c>
      <c r="J5" s="17">
        <v>702</v>
      </c>
      <c r="K5" s="115">
        <v>0.71</v>
      </c>
      <c r="L5" s="91">
        <v>16.361999999999998</v>
      </c>
      <c r="M5" s="120">
        <f t="shared" si="6"/>
        <v>2.3812667852130681E-2</v>
      </c>
      <c r="N5" s="14">
        <v>19.766999999999999</v>
      </c>
      <c r="O5" s="14">
        <f t="shared" si="2"/>
        <v>2.8158119658119658E-2</v>
      </c>
      <c r="P5" s="14">
        <f t="shared" si="7"/>
        <v>1.220065527065527</v>
      </c>
      <c r="Q5" s="17">
        <f t="shared" si="3"/>
        <v>1.0216656174181482</v>
      </c>
      <c r="R5" s="14">
        <v>387.726</v>
      </c>
      <c r="S5" s="14">
        <v>392.27</v>
      </c>
      <c r="T5" s="14">
        <v>3.794</v>
      </c>
      <c r="U5" s="14">
        <f t="shared" si="4"/>
        <v>5.5216514992656044E-3</v>
      </c>
      <c r="V5" s="14">
        <v>8.1000000000000003E-2</v>
      </c>
      <c r="W5" s="17">
        <f t="shared" si="5"/>
        <v>1.1351781978969884</v>
      </c>
      <c r="X5" s="94">
        <f t="shared" si="8"/>
        <v>1.158990865749119</v>
      </c>
      <c r="Y5" s="115">
        <f t="shared" si="9"/>
        <v>0.9297968676662548</v>
      </c>
      <c r="Z5" s="14">
        <v>1</v>
      </c>
      <c r="AA5" s="6"/>
      <c r="AB5" s="89">
        <f t="shared" si="10"/>
        <v>0.91069322791032192</v>
      </c>
      <c r="AC5" s="89">
        <f t="shared" si="11"/>
        <v>1.9103639755932961E-2</v>
      </c>
    </row>
    <row r="6" spans="1:29" x14ac:dyDescent="0.2">
      <c r="A6" s="13" t="s">
        <v>319</v>
      </c>
      <c r="B6" s="14" t="s">
        <v>512</v>
      </c>
      <c r="C6" s="14"/>
      <c r="D6" s="14">
        <v>1</v>
      </c>
      <c r="E6" s="14">
        <f t="shared" si="0"/>
        <v>1</v>
      </c>
      <c r="F6" s="17">
        <v>460.76100000000002</v>
      </c>
      <c r="G6" s="19">
        <v>11.457397</v>
      </c>
      <c r="H6" s="115">
        <f t="shared" si="1"/>
        <v>2.4866247360345168E-2</v>
      </c>
      <c r="I6" s="17">
        <f>280+133</f>
        <v>413</v>
      </c>
      <c r="J6" s="17">
        <f>218+110</f>
        <v>328</v>
      </c>
      <c r="K6" s="115">
        <f>218/J6</f>
        <v>0.66463414634146345</v>
      </c>
      <c r="L6" s="91">
        <v>14.084</v>
      </c>
      <c r="M6" s="120">
        <f t="shared" si="6"/>
        <v>0.35021622782310136</v>
      </c>
      <c r="N6" s="14">
        <v>10.432</v>
      </c>
      <c r="O6" s="14">
        <f t="shared" si="2"/>
        <v>2.5259079903147699E-2</v>
      </c>
      <c r="P6" s="14">
        <f t="shared" si="7"/>
        <v>1.1156440677966102</v>
      </c>
      <c r="Q6" s="17">
        <f t="shared" si="3"/>
        <v>8.1561291341932147</v>
      </c>
      <c r="R6" s="14">
        <f>262.5*J6/I6</f>
        <v>208.47457627118644</v>
      </c>
      <c r="S6" s="14"/>
      <c r="T6" s="14">
        <v>3.28</v>
      </c>
      <c r="U6" s="14">
        <f t="shared" si="4"/>
        <v>8.1561291341932143E-2</v>
      </c>
      <c r="V6" s="14">
        <v>15.954000000000001</v>
      </c>
      <c r="W6" s="17">
        <f t="shared" si="5"/>
        <v>5.183980381902467</v>
      </c>
      <c r="X6" s="94">
        <f t="shared" si="8"/>
        <v>5.5341966097255684</v>
      </c>
      <c r="Y6" s="115">
        <f t="shared" si="9"/>
        <v>0.483023902351081</v>
      </c>
      <c r="Z6" s="14">
        <v>0</v>
      </c>
      <c r="AA6" s="6"/>
      <c r="AB6" s="89">
        <f t="shared" si="10"/>
        <v>0.45245707920415668</v>
      </c>
      <c r="AC6" s="89">
        <f t="shared" si="11"/>
        <v>3.0566823146924327E-2</v>
      </c>
    </row>
    <row r="7" spans="1:29" x14ac:dyDescent="0.2">
      <c r="A7" s="13" t="s">
        <v>321</v>
      </c>
      <c r="B7" s="14" t="s">
        <v>512</v>
      </c>
      <c r="C7" s="14"/>
      <c r="D7" s="14">
        <v>1</v>
      </c>
      <c r="E7" s="14">
        <f t="shared" si="0"/>
        <v>1</v>
      </c>
      <c r="F7" s="17">
        <v>63.085887999999997</v>
      </c>
      <c r="G7" s="19">
        <v>48.560429999999997</v>
      </c>
      <c r="H7" s="115">
        <f t="shared" si="1"/>
        <v>0.76975107333037773</v>
      </c>
      <c r="I7" s="17">
        <v>21</v>
      </c>
      <c r="J7" s="17">
        <v>21</v>
      </c>
      <c r="K7" s="115"/>
      <c r="L7" s="91">
        <v>4.7588340000000002</v>
      </c>
      <c r="M7" s="120">
        <f t="shared" si="6"/>
        <v>3.6631175793010948</v>
      </c>
      <c r="N7" s="14">
        <v>4.7581670000000003</v>
      </c>
      <c r="O7" s="14">
        <f t="shared" si="2"/>
        <v>0.22657938095238098</v>
      </c>
      <c r="P7" s="14">
        <f t="shared" si="7"/>
        <v>3.0040899047619045</v>
      </c>
      <c r="Q7" s="17">
        <f t="shared" si="3"/>
        <v>16.164772539937932</v>
      </c>
      <c r="R7" s="14">
        <v>17.309256999999999</v>
      </c>
      <c r="S7" s="14"/>
      <c r="T7" s="14">
        <v>0.35263100000000003</v>
      </c>
      <c r="U7" s="14">
        <f t="shared" si="4"/>
        <v>0.27143809073956443</v>
      </c>
      <c r="V7" s="14">
        <v>0.67916699999999997</v>
      </c>
      <c r="W7" s="17">
        <f t="shared" si="5"/>
        <v>13.323819154301352</v>
      </c>
      <c r="X7" s="94">
        <f t="shared" si="8"/>
        <v>16.986936733602448</v>
      </c>
      <c r="Y7" s="115">
        <f t="shared" si="9"/>
        <v>0.34981026184493114</v>
      </c>
      <c r="Z7" s="14">
        <v>0</v>
      </c>
      <c r="AB7" s="89">
        <f t="shared" si="10"/>
        <v>0.27437605380144603</v>
      </c>
      <c r="AC7" s="89">
        <f t="shared" si="11"/>
        <v>7.5434208043485093E-2</v>
      </c>
    </row>
    <row r="8" spans="1:29" x14ac:dyDescent="0.2">
      <c r="A8" s="13" t="s">
        <v>355</v>
      </c>
      <c r="B8" s="14" t="s">
        <v>512</v>
      </c>
      <c r="C8" s="14"/>
      <c r="D8" s="14">
        <v>0</v>
      </c>
      <c r="E8" s="14">
        <f t="shared" si="0"/>
        <v>1</v>
      </c>
      <c r="F8" s="17">
        <v>2754.7339999999999</v>
      </c>
      <c r="G8" s="19">
        <v>11.881885</v>
      </c>
      <c r="H8" s="116">
        <f t="shared" si="1"/>
        <v>4.3132603728708472E-3</v>
      </c>
      <c r="I8" s="17">
        <v>1502</v>
      </c>
      <c r="J8" s="17">
        <v>1502</v>
      </c>
      <c r="K8" s="115">
        <v>0.44</v>
      </c>
      <c r="L8" s="91">
        <v>148.98699999999999</v>
      </c>
      <c r="M8" s="120">
        <f t="shared" si="6"/>
        <v>0.64261972317290894</v>
      </c>
      <c r="N8" s="14">
        <v>115.672</v>
      </c>
      <c r="O8" s="14">
        <f t="shared" si="2"/>
        <v>7.7011984021304922E-2</v>
      </c>
      <c r="P8" s="14">
        <f t="shared" si="7"/>
        <v>1.8340439414114513</v>
      </c>
      <c r="Q8" s="17">
        <f t="shared" si="3"/>
        <v>6.4785170800520122</v>
      </c>
      <c r="R8" s="14">
        <v>1153.8</v>
      </c>
      <c r="S8" s="14">
        <v>577.33799999999997</v>
      </c>
      <c r="T8" s="14">
        <v>37.380000000000003</v>
      </c>
      <c r="U8" s="14">
        <f t="shared" si="4"/>
        <v>0.16122967273791228</v>
      </c>
      <c r="V8" s="14">
        <v>1.863</v>
      </c>
      <c r="W8" s="17">
        <f t="shared" si="5"/>
        <v>7.4668489353708924</v>
      </c>
      <c r="X8" s="94">
        <f t="shared" si="8"/>
        <v>8.1094686585438005</v>
      </c>
      <c r="Y8" s="115">
        <f t="shared" si="9"/>
        <v>0.68250691355317783</v>
      </c>
      <c r="Z8" s="14">
        <v>0</v>
      </c>
      <c r="AB8" s="89">
        <f t="shared" si="10"/>
        <v>0.62842292577069148</v>
      </c>
      <c r="AC8" s="89">
        <f t="shared" si="11"/>
        <v>5.4083987782486444E-2</v>
      </c>
    </row>
    <row r="9" spans="1:29" s="2" customFormat="1" x14ac:dyDescent="0.2">
      <c r="A9" s="15" t="s">
        <v>353</v>
      </c>
      <c r="B9" s="14" t="s">
        <v>512</v>
      </c>
      <c r="C9" s="14"/>
      <c r="D9" s="16">
        <v>0</v>
      </c>
      <c r="E9" s="14">
        <f t="shared" si="0"/>
        <v>1</v>
      </c>
      <c r="F9" s="117">
        <v>24.682206000000001</v>
      </c>
      <c r="G9" s="5">
        <v>30.43891</v>
      </c>
      <c r="H9" s="118">
        <f>1</f>
        <v>1</v>
      </c>
      <c r="I9" s="17">
        <v>9</v>
      </c>
      <c r="J9" s="17">
        <v>9</v>
      </c>
      <c r="K9" s="115">
        <f>2/9</f>
        <v>0.22222222222222221</v>
      </c>
      <c r="L9" s="92">
        <v>4.5202479999999996</v>
      </c>
      <c r="M9" s="120">
        <f t="shared" si="6"/>
        <v>4.5202479999999996</v>
      </c>
      <c r="N9" s="16">
        <v>3.131977</v>
      </c>
      <c r="O9" s="16">
        <f t="shared" si="2"/>
        <v>0.34799744444444447</v>
      </c>
      <c r="P9" s="14">
        <f t="shared" si="7"/>
        <v>2.7424673333333334</v>
      </c>
      <c r="Q9" s="122">
        <f t="shared" si="3"/>
        <v>9</v>
      </c>
      <c r="R9" s="16">
        <v>2.7786339999999998</v>
      </c>
      <c r="S9" s="16">
        <v>0.85304199999999997</v>
      </c>
      <c r="T9" s="16">
        <v>0.76186399999999999</v>
      </c>
      <c r="U9" s="16">
        <f t="shared" si="4"/>
        <v>0.76186399999999999</v>
      </c>
      <c r="V9" s="16"/>
      <c r="W9" s="17">
        <f t="shared" si="5"/>
        <v>3.6316759999999997</v>
      </c>
      <c r="X9" s="94">
        <f t="shared" si="8"/>
        <v>8.1519239999999993</v>
      </c>
      <c r="Y9" s="115">
        <f t="shared" si="9"/>
        <v>0.26781261221246094</v>
      </c>
      <c r="Z9" s="16">
        <v>1</v>
      </c>
      <c r="AB9" s="89">
        <f t="shared" si="10"/>
        <v>0.11931031695944433</v>
      </c>
      <c r="AC9" s="89">
        <f t="shared" si="11"/>
        <v>0.14850229525301661</v>
      </c>
    </row>
    <row r="10" spans="1:29" x14ac:dyDescent="0.2">
      <c r="A10" s="13" t="s">
        <v>323</v>
      </c>
      <c r="B10" s="14" t="s">
        <v>512</v>
      </c>
      <c r="C10" s="14"/>
      <c r="D10" s="14">
        <v>1</v>
      </c>
      <c r="E10" s="14">
        <f t="shared" si="0"/>
        <v>1</v>
      </c>
      <c r="F10" s="17">
        <v>59.329000000000001</v>
      </c>
      <c r="G10" s="19">
        <v>27.203232</v>
      </c>
      <c r="H10" s="115">
        <f t="shared" ref="H10:H17" si="12">G10/F10</f>
        <v>0.45851492524734949</v>
      </c>
      <c r="I10" s="17">
        <v>22</v>
      </c>
      <c r="J10" s="17">
        <v>22</v>
      </c>
      <c r="K10" s="115">
        <v>0.4</v>
      </c>
      <c r="L10" s="91">
        <v>1.623</v>
      </c>
      <c r="M10" s="120">
        <f t="shared" si="6"/>
        <v>0.74416972367644818</v>
      </c>
      <c r="N10" s="14">
        <v>1.3420000000000001</v>
      </c>
      <c r="O10" s="14">
        <f t="shared" si="2"/>
        <v>6.1000000000000006E-2</v>
      </c>
      <c r="P10" s="14">
        <f t="shared" si="7"/>
        <v>2.6967727272727271</v>
      </c>
      <c r="Q10" s="17">
        <f t="shared" si="3"/>
        <v>10.087328355441688</v>
      </c>
      <c r="R10" s="14">
        <v>10.348000000000001</v>
      </c>
      <c r="S10" s="14">
        <v>4.0599999999999996</v>
      </c>
      <c r="T10" s="14">
        <v>0.39100000000000001</v>
      </c>
      <c r="U10" s="14">
        <f t="shared" si="4"/>
        <v>0.17927933577171365</v>
      </c>
      <c r="V10" s="14"/>
      <c r="W10" s="17">
        <f t="shared" si="5"/>
        <v>6.6062830429638124</v>
      </c>
      <c r="X10" s="94">
        <f t="shared" si="8"/>
        <v>7.3504527666402604</v>
      </c>
      <c r="Y10" s="115">
        <f t="shared" si="9"/>
        <v>0.27020512734076085</v>
      </c>
      <c r="Z10" s="14">
        <v>1</v>
      </c>
      <c r="AA10" s="6"/>
      <c r="AB10" s="89">
        <f t="shared" si="10"/>
        <v>0.24284919685145545</v>
      </c>
      <c r="AC10" s="89">
        <f t="shared" si="11"/>
        <v>2.7355930489305395E-2</v>
      </c>
    </row>
    <row r="11" spans="1:29" s="2" customFormat="1" x14ac:dyDescent="0.2">
      <c r="A11" s="13" t="s">
        <v>325</v>
      </c>
      <c r="B11" s="14" t="s">
        <v>512</v>
      </c>
      <c r="C11" s="14"/>
      <c r="D11" s="14">
        <v>1</v>
      </c>
      <c r="E11" s="14">
        <f t="shared" si="0"/>
        <v>1</v>
      </c>
      <c r="F11" s="17">
        <v>76.697415000000007</v>
      </c>
      <c r="G11" s="19">
        <v>26.91262</v>
      </c>
      <c r="H11" s="115">
        <f t="shared" si="12"/>
        <v>0.35089344275814249</v>
      </c>
      <c r="I11" s="17">
        <v>50</v>
      </c>
      <c r="J11" s="17">
        <v>15</v>
      </c>
      <c r="K11" s="115">
        <f>8/J11</f>
        <v>0.53333333333333333</v>
      </c>
      <c r="L11" s="91">
        <v>0.64886200000000005</v>
      </c>
      <c r="M11" s="120">
        <f t="shared" si="6"/>
        <v>0.22768142105493386</v>
      </c>
      <c r="N11" s="14">
        <v>1.3321499999999999</v>
      </c>
      <c r="O11" s="14">
        <f t="shared" si="2"/>
        <v>2.6643E-2</v>
      </c>
      <c r="P11" s="14">
        <f t="shared" si="7"/>
        <v>1.5339483</v>
      </c>
      <c r="Q11" s="17">
        <f t="shared" si="3"/>
        <v>5.2634016413721376</v>
      </c>
      <c r="R11" s="14">
        <f>19.498265*J11/I11</f>
        <v>5.8494795000000002</v>
      </c>
      <c r="S11" s="14"/>
      <c r="T11" s="14">
        <v>0.40213100000000002</v>
      </c>
      <c r="U11" s="14">
        <f t="shared" si="4"/>
        <v>0.14110513102977459</v>
      </c>
      <c r="V11" s="14" t="s">
        <v>128</v>
      </c>
      <c r="W11" s="17">
        <f t="shared" si="5"/>
        <v>2.0525440000981781</v>
      </c>
      <c r="X11" s="94">
        <f t="shared" si="8"/>
        <v>2.2802254211531121</v>
      </c>
      <c r="Y11" s="115">
        <f t="shared" si="9"/>
        <v>8.47269950362734E-2</v>
      </c>
      <c r="Z11" s="14">
        <v>0</v>
      </c>
      <c r="AA11" s="6"/>
      <c r="AB11" s="89">
        <f t="shared" si="10"/>
        <v>7.626697066648204E-2</v>
      </c>
      <c r="AC11" s="89">
        <f t="shared" si="11"/>
        <v>8.4600243697913417E-3</v>
      </c>
    </row>
    <row r="12" spans="1:29" x14ac:dyDescent="0.2">
      <c r="A12" s="13" t="s">
        <v>1041</v>
      </c>
      <c r="B12" s="14" t="s">
        <v>512</v>
      </c>
      <c r="C12" s="14"/>
      <c r="D12" s="14">
        <v>0</v>
      </c>
      <c r="E12" s="14">
        <f t="shared" si="0"/>
        <v>1</v>
      </c>
      <c r="F12" s="19">
        <f>G12+0.032</f>
        <v>1.6958090000000001</v>
      </c>
      <c r="G12" s="19">
        <v>1.6638090000000001</v>
      </c>
      <c r="H12" s="115">
        <f t="shared" si="12"/>
        <v>0.98112995036587258</v>
      </c>
      <c r="I12" s="17">
        <v>1</v>
      </c>
      <c r="J12" s="17">
        <v>1</v>
      </c>
      <c r="K12" s="115">
        <v>1</v>
      </c>
      <c r="L12" s="91">
        <f>N12</f>
        <v>0.43309999999999998</v>
      </c>
      <c r="M12" s="120">
        <f t="shared" si="6"/>
        <v>0.42492738150345938</v>
      </c>
      <c r="N12" s="14">
        <f>0.4331</f>
        <v>0.43309999999999998</v>
      </c>
      <c r="O12" s="14">
        <f t="shared" si="2"/>
        <v>0.43309999999999998</v>
      </c>
      <c r="P12" s="14">
        <f t="shared" si="7"/>
        <v>1.6958090000000001</v>
      </c>
      <c r="Q12" s="17">
        <f t="shared" si="3"/>
        <v>0.98112995036587258</v>
      </c>
      <c r="R12" s="14">
        <f>N12</f>
        <v>0.43309999999999998</v>
      </c>
      <c r="S12" s="14"/>
      <c r="T12" s="14">
        <v>0.18409</v>
      </c>
      <c r="U12" s="14">
        <f t="shared" si="4"/>
        <v>0.18061621256285348</v>
      </c>
      <c r="V12" s="14" t="s">
        <v>36</v>
      </c>
      <c r="W12" s="17">
        <f t="shared" si="5"/>
        <v>0.42492738150345938</v>
      </c>
      <c r="X12" s="94">
        <f t="shared" si="8"/>
        <v>0.84985476300691876</v>
      </c>
      <c r="Y12" s="115">
        <f t="shared" si="9"/>
        <v>0.51078865603378676</v>
      </c>
      <c r="Z12" s="14">
        <v>1</v>
      </c>
      <c r="AA12" s="6"/>
      <c r="AB12" s="89">
        <f t="shared" si="10"/>
        <v>0.25539432801689338</v>
      </c>
      <c r="AC12" s="89">
        <f t="shared" si="11"/>
        <v>0.25539432801689338</v>
      </c>
    </row>
    <row r="13" spans="1:29" ht="15.75" customHeight="1" x14ac:dyDescent="0.2">
      <c r="A13" s="13" t="s">
        <v>361</v>
      </c>
      <c r="B13" s="14" t="s">
        <v>512</v>
      </c>
      <c r="C13" s="14"/>
      <c r="D13" s="14">
        <v>0</v>
      </c>
      <c r="E13" s="14">
        <f t="shared" si="0"/>
        <v>1</v>
      </c>
      <c r="F13" s="17">
        <v>165.34210300000001</v>
      </c>
      <c r="G13" s="19">
        <v>1.6450910000000001</v>
      </c>
      <c r="H13" s="115">
        <f t="shared" si="12"/>
        <v>9.9496194263357114E-3</v>
      </c>
      <c r="I13" s="17">
        <v>90</v>
      </c>
      <c r="J13" s="17">
        <v>90</v>
      </c>
      <c r="K13" s="115">
        <f>42/I13</f>
        <v>0.46666666666666667</v>
      </c>
      <c r="L13" s="91">
        <v>15.424701000000001</v>
      </c>
      <c r="M13" s="120">
        <f t="shared" si="6"/>
        <v>0.15346990471501987</v>
      </c>
      <c r="N13" s="14">
        <v>8.1</v>
      </c>
      <c r="O13" s="14">
        <f t="shared" si="2"/>
        <v>0.09</v>
      </c>
      <c r="P13" s="14">
        <f t="shared" si="7"/>
        <v>1.8371344777777778</v>
      </c>
      <c r="Q13" s="17">
        <f t="shared" si="3"/>
        <v>0.89546574837021398</v>
      </c>
      <c r="R13" s="14">
        <v>50.969444000000003</v>
      </c>
      <c r="S13" s="14">
        <v>16.393761000000001</v>
      </c>
      <c r="T13" s="14">
        <v>3.4693860000000001</v>
      </c>
      <c r="U13" s="14">
        <f t="shared" si="4"/>
        <v>3.4519070343057151E-2</v>
      </c>
      <c r="V13" s="14" t="s">
        <v>36</v>
      </c>
      <c r="W13" s="17">
        <f t="shared" si="5"/>
        <v>0.67023825308823504</v>
      </c>
      <c r="X13" s="94">
        <f t="shared" si="8"/>
        <v>0.8237081578032549</v>
      </c>
      <c r="Y13" s="115">
        <f t="shared" si="9"/>
        <v>0.500706743762658</v>
      </c>
      <c r="Z13" s="14">
        <v>1</v>
      </c>
      <c r="AB13" s="89">
        <f t="shared" si="10"/>
        <v>0.40741712956197257</v>
      </c>
      <c r="AC13" s="89">
        <f t="shared" si="11"/>
        <v>9.3289614200685475E-2</v>
      </c>
    </row>
    <row r="14" spans="1:29" x14ac:dyDescent="0.2">
      <c r="A14" s="13" t="s">
        <v>352</v>
      </c>
      <c r="B14" s="14" t="s">
        <v>512</v>
      </c>
      <c r="C14" s="14"/>
      <c r="D14" s="14">
        <v>0</v>
      </c>
      <c r="E14" s="14">
        <f t="shared" si="0"/>
        <v>1</v>
      </c>
      <c r="F14" s="17">
        <v>18.833690000000001</v>
      </c>
      <c r="G14" s="19">
        <v>11.885479</v>
      </c>
      <c r="H14" s="115">
        <f t="shared" si="12"/>
        <v>0.63107542919098703</v>
      </c>
      <c r="I14" s="17">
        <v>4</v>
      </c>
      <c r="J14" s="17">
        <v>4</v>
      </c>
      <c r="K14" s="115">
        <f>2/4</f>
        <v>0.5</v>
      </c>
      <c r="L14" s="91">
        <v>5.42286</v>
      </c>
      <c r="M14" s="120">
        <f t="shared" si="6"/>
        <v>3.4222337019426359</v>
      </c>
      <c r="N14" s="14">
        <v>3.9659230000000001</v>
      </c>
      <c r="O14" s="14">
        <f t="shared" si="2"/>
        <v>0.99148075000000002</v>
      </c>
      <c r="P14" s="14">
        <f t="shared" si="7"/>
        <v>4.7084225000000002</v>
      </c>
      <c r="Q14" s="17">
        <f t="shared" si="3"/>
        <v>2.5243017167639481</v>
      </c>
      <c r="R14" s="14">
        <v>1.809307</v>
      </c>
      <c r="S14" s="14">
        <v>0.670157</v>
      </c>
      <c r="T14" s="14">
        <v>1.3879600000000001</v>
      </c>
      <c r="U14" s="14">
        <f t="shared" si="4"/>
        <v>0.87590745269992243</v>
      </c>
      <c r="V14" s="14"/>
      <c r="W14" s="17">
        <f t="shared" si="5"/>
        <v>1.5647288079636015</v>
      </c>
      <c r="X14" s="94">
        <f t="shared" si="8"/>
        <v>4.9869625099062374</v>
      </c>
      <c r="Y14" s="115">
        <f t="shared" si="9"/>
        <v>0.41958447866562526</v>
      </c>
      <c r="Z14" s="14">
        <v>1</v>
      </c>
      <c r="AB14" s="89">
        <f t="shared" si="10"/>
        <v>0.13165046254876236</v>
      </c>
      <c r="AC14" s="89">
        <f t="shared" si="11"/>
        <v>0.28793401611686292</v>
      </c>
    </row>
    <row r="15" spans="1:29" x14ac:dyDescent="0.2">
      <c r="A15" s="13" t="s">
        <v>366</v>
      </c>
      <c r="B15" s="14" t="s">
        <v>512</v>
      </c>
      <c r="C15" s="14"/>
      <c r="D15" s="14">
        <v>1</v>
      </c>
      <c r="E15" s="14">
        <f t="shared" si="0"/>
        <v>1</v>
      </c>
      <c r="F15" s="17">
        <v>4648</v>
      </c>
      <c r="G15" s="19">
        <v>15.791205</v>
      </c>
      <c r="H15" s="116">
        <f t="shared" si="12"/>
        <v>3.3974193201376937E-3</v>
      </c>
      <c r="I15" s="17">
        <v>3897</v>
      </c>
      <c r="J15" s="17">
        <v>3897</v>
      </c>
      <c r="K15" s="115">
        <v>0.42</v>
      </c>
      <c r="L15" s="91">
        <v>272</v>
      </c>
      <c r="M15" s="120">
        <f t="shared" si="6"/>
        <v>0.92409805507745268</v>
      </c>
      <c r="N15" s="14">
        <v>198</v>
      </c>
      <c r="O15" s="14">
        <f t="shared" si="2"/>
        <v>5.0808314087759814E-2</v>
      </c>
      <c r="P15" s="14">
        <f t="shared" si="7"/>
        <v>1.1927123428278164</v>
      </c>
      <c r="Q15" s="17">
        <f t="shared" si="3"/>
        <v>13.239743090576592</v>
      </c>
      <c r="R15" s="14">
        <v>2892</v>
      </c>
      <c r="S15" s="14"/>
      <c r="T15" s="14">
        <v>55</v>
      </c>
      <c r="U15" s="14">
        <f t="shared" si="4"/>
        <v>0.18685806260757315</v>
      </c>
      <c r="V15" s="14"/>
      <c r="W15" s="17">
        <f t="shared" si="5"/>
        <v>9.8253366738382102</v>
      </c>
      <c r="X15" s="94">
        <f t="shared" si="8"/>
        <v>10.749434728915663</v>
      </c>
      <c r="Y15" s="115">
        <f t="shared" si="9"/>
        <v>0.68072289156626509</v>
      </c>
      <c r="Z15" s="14">
        <v>0</v>
      </c>
      <c r="AB15" s="89">
        <f t="shared" si="10"/>
        <v>0.62220309810671259</v>
      </c>
      <c r="AC15" s="89">
        <f t="shared" si="11"/>
        <v>5.8519793459552501E-2</v>
      </c>
    </row>
    <row r="16" spans="1:29" x14ac:dyDescent="0.2">
      <c r="A16" s="13" t="s">
        <v>331</v>
      </c>
      <c r="B16" s="14" t="s">
        <v>512</v>
      </c>
      <c r="C16" s="14"/>
      <c r="D16" s="14">
        <v>1</v>
      </c>
      <c r="E16" s="14">
        <f t="shared" si="0"/>
        <v>1</v>
      </c>
      <c r="F16" s="17">
        <v>146.63499999999999</v>
      </c>
      <c r="G16" s="19">
        <v>72.935548999999995</v>
      </c>
      <c r="H16" s="115">
        <f t="shared" si="12"/>
        <v>0.49739522624202953</v>
      </c>
      <c r="I16" s="17">
        <v>40</v>
      </c>
      <c r="J16" s="17">
        <v>40</v>
      </c>
      <c r="K16" s="115">
        <f>15/40</f>
        <v>0.375</v>
      </c>
      <c r="L16" s="91">
        <v>4.9509999999999996</v>
      </c>
      <c r="M16" s="120">
        <f t="shared" si="6"/>
        <v>2.462603765124288</v>
      </c>
      <c r="N16" s="14">
        <v>3.9369999999999998</v>
      </c>
      <c r="O16" s="14">
        <f t="shared" si="2"/>
        <v>9.8424999999999999E-2</v>
      </c>
      <c r="P16" s="14">
        <f t="shared" si="7"/>
        <v>3.6658749999999998</v>
      </c>
      <c r="Q16" s="17">
        <f t="shared" si="3"/>
        <v>19.89580904968118</v>
      </c>
      <c r="R16" s="14">
        <f>1.256+16.544</f>
        <v>17.8</v>
      </c>
      <c r="S16" s="14">
        <f>0.822+7.264</f>
        <v>8.0860000000000003</v>
      </c>
      <c r="T16" s="14">
        <v>1.337</v>
      </c>
      <c r="U16" s="14">
        <f t="shared" si="4"/>
        <v>0.66501741748559351</v>
      </c>
      <c r="V16" s="14">
        <v>1.448</v>
      </c>
      <c r="W16" s="17">
        <f t="shared" si="5"/>
        <v>12.875572826501179</v>
      </c>
      <c r="X16" s="94">
        <f t="shared" si="8"/>
        <v>15.338176591625466</v>
      </c>
      <c r="Y16" s="115">
        <f t="shared" si="9"/>
        <v>0.2102976779077301</v>
      </c>
      <c r="Z16" s="14">
        <v>1</v>
      </c>
      <c r="AB16" s="89">
        <f t="shared" si="10"/>
        <v>0.17653356974801382</v>
      </c>
      <c r="AC16" s="89">
        <f t="shared" si="11"/>
        <v>3.3764108159716304E-2</v>
      </c>
    </row>
    <row r="17" spans="1:29" x14ac:dyDescent="0.2">
      <c r="A17" s="13" t="s">
        <v>334</v>
      </c>
      <c r="B17" s="14" t="s">
        <v>512</v>
      </c>
      <c r="C17" s="14"/>
      <c r="D17" s="14">
        <v>1</v>
      </c>
      <c r="E17" s="14">
        <f t="shared" si="0"/>
        <v>1</v>
      </c>
      <c r="F17" s="17">
        <v>8200.2999999999993</v>
      </c>
      <c r="G17" s="19">
        <v>8.2941920000000007</v>
      </c>
      <c r="H17" s="116">
        <f t="shared" si="12"/>
        <v>1.0114498250064024E-3</v>
      </c>
      <c r="I17" s="17">
        <v>7947</v>
      </c>
      <c r="J17" s="17">
        <v>3925</v>
      </c>
      <c r="K17" s="115">
        <v>0.7</v>
      </c>
      <c r="L17" s="91">
        <v>560.70000000000005</v>
      </c>
      <c r="M17" s="120">
        <f t="shared" si="6"/>
        <v>0.56711991688108987</v>
      </c>
      <c r="N17" s="14">
        <v>379.6</v>
      </c>
      <c r="O17" s="14">
        <f t="shared" si="2"/>
        <v>4.7766452749465213E-2</v>
      </c>
      <c r="P17" s="14">
        <f t="shared" si="7"/>
        <v>1.0318736630174907</v>
      </c>
      <c r="Q17" s="17">
        <f t="shared" si="3"/>
        <v>3.9699405631501294</v>
      </c>
      <c r="R17" s="14">
        <f>5433.3*J17/I17</f>
        <v>2683.4909399773501</v>
      </c>
      <c r="S17" s="14"/>
      <c r="T17" s="14">
        <v>147.19999999999999</v>
      </c>
      <c r="U17" s="14">
        <f t="shared" si="4"/>
        <v>0.14888541424094243</v>
      </c>
      <c r="V17" s="14">
        <v>2088.4</v>
      </c>
      <c r="W17" s="17">
        <f t="shared" si="5"/>
        <v>2.7142164416463568</v>
      </c>
      <c r="X17" s="94">
        <f t="shared" si="8"/>
        <v>3.2813363585274464</v>
      </c>
      <c r="Y17" s="115">
        <f t="shared" si="9"/>
        <v>0.39561856761061792</v>
      </c>
      <c r="Z17" s="14">
        <v>0</v>
      </c>
      <c r="AB17" s="89">
        <f t="shared" si="10"/>
        <v>0.32724302037454117</v>
      </c>
      <c r="AC17" s="89">
        <f t="shared" si="11"/>
        <v>6.8375547236076736E-2</v>
      </c>
    </row>
    <row r="18" spans="1:29" x14ac:dyDescent="0.2">
      <c r="A18" s="13" t="s">
        <v>365</v>
      </c>
      <c r="B18" s="14" t="s">
        <v>512</v>
      </c>
      <c r="C18" s="14"/>
      <c r="D18" s="14">
        <v>0</v>
      </c>
      <c r="E18" s="14">
        <f t="shared" si="0"/>
        <v>1</v>
      </c>
      <c r="F18" s="117">
        <v>0.93539700000000003</v>
      </c>
      <c r="G18" s="19">
        <v>1.609918</v>
      </c>
      <c r="H18" s="118">
        <f>1</f>
        <v>1</v>
      </c>
      <c r="I18" s="17">
        <v>1</v>
      </c>
      <c r="J18" s="17">
        <v>1</v>
      </c>
      <c r="K18" s="115">
        <v>1</v>
      </c>
      <c r="L18" s="91">
        <v>-0.41742099999999999</v>
      </c>
      <c r="M18" s="120">
        <f t="shared" si="6"/>
        <v>0</v>
      </c>
      <c r="N18" s="14">
        <v>-0.56383300000000003</v>
      </c>
      <c r="O18" s="14">
        <f t="shared" si="2"/>
        <v>-0.56383300000000003</v>
      </c>
      <c r="P18" s="14">
        <f t="shared" si="7"/>
        <v>0.93539700000000003</v>
      </c>
      <c r="Q18" s="17">
        <f t="shared" si="3"/>
        <v>1</v>
      </c>
      <c r="R18" s="14">
        <v>0.1714</v>
      </c>
      <c r="S18" s="14">
        <v>9.3586000000000003E-2</v>
      </c>
      <c r="T18" s="14">
        <v>2.3E-2</v>
      </c>
      <c r="U18" s="14">
        <f t="shared" si="4"/>
        <v>2.3E-2</v>
      </c>
      <c r="V18" s="14"/>
      <c r="W18" s="17">
        <f t="shared" si="5"/>
        <v>0.264986</v>
      </c>
      <c r="X18" s="94">
        <f t="shared" si="8"/>
        <v>0.264986</v>
      </c>
      <c r="Y18" s="115">
        <f t="shared" si="9"/>
        <v>0.16459596078806499</v>
      </c>
      <c r="Z18" s="14">
        <v>1</v>
      </c>
      <c r="AB18" s="89">
        <f t="shared" si="10"/>
        <v>0.16459596078806499</v>
      </c>
      <c r="AC18" s="89">
        <f t="shared" si="11"/>
        <v>0</v>
      </c>
    </row>
    <row r="19" spans="1:29" x14ac:dyDescent="0.2">
      <c r="A19" s="13" t="s">
        <v>336</v>
      </c>
      <c r="B19" s="14" t="s">
        <v>512</v>
      </c>
      <c r="C19" s="14"/>
      <c r="D19" s="14">
        <v>1</v>
      </c>
      <c r="E19" s="14">
        <f t="shared" si="0"/>
        <v>1</v>
      </c>
      <c r="F19" s="17">
        <v>2802.3</v>
      </c>
      <c r="G19" s="19">
        <v>6.6511690000000003</v>
      </c>
      <c r="H19" s="116">
        <f>G19/F19</f>
        <v>2.3734678656817613E-3</v>
      </c>
      <c r="I19" s="17">
        <v>2376</v>
      </c>
      <c r="J19" s="17">
        <v>2376</v>
      </c>
      <c r="K19" s="115">
        <v>0.69</v>
      </c>
      <c r="L19" s="91">
        <v>263.5</v>
      </c>
      <c r="M19" s="120">
        <f t="shared" si="6"/>
        <v>0.62540878260714405</v>
      </c>
      <c r="N19" s="14">
        <v>203.3</v>
      </c>
      <c r="O19" s="14">
        <f t="shared" si="2"/>
        <v>8.5563973063973064E-2</v>
      </c>
      <c r="P19" s="14">
        <f t="shared" si="7"/>
        <v>1.1794191919191921</v>
      </c>
      <c r="Q19" s="17">
        <f t="shared" si="3"/>
        <v>5.6393596488598652</v>
      </c>
      <c r="R19" s="14">
        <v>1169.3</v>
      </c>
      <c r="S19" s="14">
        <v>528.29999999999995</v>
      </c>
      <c r="T19" s="14">
        <v>60.8</v>
      </c>
      <c r="U19" s="14">
        <f t="shared" si="4"/>
        <v>0.14430684623345108</v>
      </c>
      <c r="V19" s="14"/>
      <c r="W19" s="17">
        <f t="shared" si="5"/>
        <v>4.0291990487813578</v>
      </c>
      <c r="X19" s="94">
        <f t="shared" si="8"/>
        <v>4.6546078313885015</v>
      </c>
      <c r="Y19" s="115">
        <f t="shared" si="9"/>
        <v>0.69981800663740479</v>
      </c>
      <c r="Z19" s="14">
        <v>1</v>
      </c>
      <c r="AB19" s="89">
        <f t="shared" si="10"/>
        <v>0.60578810262998239</v>
      </c>
      <c r="AC19" s="89">
        <f t="shared" si="11"/>
        <v>9.4029904007422463E-2</v>
      </c>
    </row>
    <row r="20" spans="1:29" s="6" customFormat="1" x14ac:dyDescent="0.2">
      <c r="A20" s="4" t="s">
        <v>425</v>
      </c>
      <c r="B20" s="14" t="s">
        <v>512</v>
      </c>
      <c r="D20" s="14">
        <v>0</v>
      </c>
      <c r="E20" s="2">
        <f t="shared" si="0"/>
        <v>1</v>
      </c>
      <c r="F20" s="5"/>
      <c r="G20" s="11">
        <v>3.4165000000000001</v>
      </c>
      <c r="H20" s="5"/>
      <c r="I20" s="5"/>
      <c r="J20" s="5"/>
      <c r="K20" s="5"/>
      <c r="L20" s="68"/>
      <c r="M20" s="120" t="str">
        <f t="shared" ref="M20:M21" si="13">IF(L20&gt;0,H20*L20,"")</f>
        <v/>
      </c>
      <c r="Q20" s="5"/>
      <c r="W20" s="5"/>
      <c r="Y20" s="5"/>
      <c r="AA20" s="2"/>
      <c r="AB20" s="89"/>
      <c r="AC20" s="89"/>
    </row>
    <row r="21" spans="1:29" s="6" customFormat="1" x14ac:dyDescent="0.2">
      <c r="A21" s="4" t="s">
        <v>428</v>
      </c>
      <c r="B21" s="14" t="s">
        <v>512</v>
      </c>
      <c r="D21" s="14">
        <v>0</v>
      </c>
      <c r="E21" s="2">
        <f t="shared" si="0"/>
        <v>1</v>
      </c>
      <c r="F21" s="5"/>
      <c r="G21" s="11">
        <v>1.863</v>
      </c>
      <c r="H21" s="5"/>
      <c r="I21" s="5"/>
      <c r="J21" s="5"/>
      <c r="K21" s="5"/>
      <c r="L21" s="68"/>
      <c r="M21" s="120" t="str">
        <f t="shared" si="13"/>
        <v/>
      </c>
      <c r="Q21" s="5"/>
      <c r="W21" s="5"/>
      <c r="Y21" s="5"/>
      <c r="AA21" s="50"/>
      <c r="AB21" s="89"/>
      <c r="AC21" s="89"/>
    </row>
    <row r="22" spans="1:29" s="10" customFormat="1" ht="15" x14ac:dyDescent="0.25">
      <c r="A22" s="59" t="s">
        <v>685</v>
      </c>
      <c r="B22" s="10">
        <f>COUNTA(B2:B21)</f>
        <v>20</v>
      </c>
      <c r="D22" s="10">
        <f>SUM(D2:D21)</f>
        <v>9</v>
      </c>
      <c r="E22" s="10">
        <f>SUM(E2:E21)</f>
        <v>20</v>
      </c>
      <c r="F22" s="80">
        <f>SUM(F2:F21)</f>
        <v>23776.324671999999</v>
      </c>
      <c r="G22" s="80">
        <f>SUM(G2:G21)</f>
        <v>297.29577699999999</v>
      </c>
      <c r="H22" s="86">
        <f>AVERAGE(H2:H21)</f>
        <v>0.32210354550990739</v>
      </c>
      <c r="I22" s="80">
        <f>SUM(I2:I21)</f>
        <v>19441</v>
      </c>
      <c r="J22" s="80">
        <f>SUM(J2:J21)</f>
        <v>15299</v>
      </c>
      <c r="K22" s="86">
        <f>AVERAGE(K2:K21)</f>
        <v>0.5610579008642137</v>
      </c>
      <c r="L22" s="93"/>
      <c r="M22" s="121">
        <f>SUMIF(M2:M19,"&gt;0")</f>
        <v>20.3888693404223</v>
      </c>
      <c r="N22" s="10">
        <f>SUM(N2:N21)</f>
        <v>1282.066057</v>
      </c>
      <c r="O22" s="10">
        <f>AVERAGE(O2:O21)</f>
        <v>0.12180208712582861</v>
      </c>
      <c r="P22" s="10">
        <f>AVERAGE(P2:P21)</f>
        <v>1.9066515950494416</v>
      </c>
      <c r="Q22" s="80">
        <f>SUM(Q2:Q21)</f>
        <v>114.06047276221508</v>
      </c>
      <c r="W22" s="80">
        <f>SUM(W2:W21)</f>
        <v>78.263275983353907</v>
      </c>
      <c r="X22" s="95">
        <f>SUM(X2:X21)</f>
        <v>98.652145323776196</v>
      </c>
      <c r="Y22" s="80"/>
      <c r="AB22" s="60">
        <f>W22/G22</f>
        <v>0.26325054722642061</v>
      </c>
      <c r="AC22" s="60">
        <f>M22/G22</f>
        <v>6.8581093031880841E-2</v>
      </c>
    </row>
    <row r="23" spans="1:29" s="6" customFormat="1" x14ac:dyDescent="0.2">
      <c r="A23" s="13"/>
      <c r="F23" s="5"/>
      <c r="G23" s="5"/>
      <c r="H23" s="119"/>
      <c r="I23" s="119"/>
      <c r="J23" s="119"/>
      <c r="K23" s="119"/>
      <c r="L23" s="58"/>
      <c r="M23" s="119"/>
      <c r="Q23" s="5"/>
      <c r="W23" s="5">
        <f>W22/G22</f>
        <v>0.26325054722642061</v>
      </c>
      <c r="X23" s="6">
        <f>X22/G22</f>
        <v>0.33183164025830142</v>
      </c>
      <c r="Y23" s="5"/>
    </row>
    <row r="24" spans="1:29" s="6" customFormat="1" x14ac:dyDescent="0.2">
      <c r="A24" s="13"/>
      <c r="F24" s="5"/>
      <c r="G24" s="5"/>
      <c r="H24" s="119"/>
      <c r="I24" s="119"/>
      <c r="J24" s="119"/>
      <c r="K24" s="119"/>
      <c r="L24" s="58"/>
      <c r="M24" s="119"/>
      <c r="Q24" s="5"/>
      <c r="W24" s="5"/>
      <c r="Y24" s="5"/>
    </row>
    <row r="25" spans="1:29" x14ac:dyDescent="0.2">
      <c r="A25" s="13" t="s">
        <v>360</v>
      </c>
      <c r="B25" s="14" t="s">
        <v>512</v>
      </c>
      <c r="C25" s="14">
        <v>1</v>
      </c>
      <c r="D25" s="14">
        <v>0</v>
      </c>
      <c r="E25" s="14">
        <f>IF(G25&gt;1,1,0)</f>
        <v>1</v>
      </c>
      <c r="F25" s="17"/>
      <c r="G25" s="19">
        <v>2.4200819999999998</v>
      </c>
      <c r="H25" s="17" t="e">
        <f>G25/F25</f>
        <v>#DIV/0!</v>
      </c>
      <c r="I25" s="17"/>
      <c r="J25" s="17"/>
      <c r="K25" s="17"/>
      <c r="L25" s="14"/>
      <c r="M25" s="17"/>
      <c r="N25" s="14"/>
      <c r="O25" s="14" t="e">
        <f>N25/I25</f>
        <v>#DIV/0!</v>
      </c>
      <c r="P25" s="14" t="e">
        <f>F25/I25</f>
        <v>#DIV/0!</v>
      </c>
      <c r="Q25" s="17" t="e">
        <f>J25*H25</f>
        <v>#DIV/0!</v>
      </c>
      <c r="R25" s="14"/>
      <c r="S25" s="14"/>
      <c r="T25" s="14"/>
      <c r="U25" s="14" t="e">
        <f>T25*H25</f>
        <v>#DIV/0!</v>
      </c>
      <c r="V25" s="14"/>
      <c r="W25" s="17" t="e">
        <f>SUM(R25:S25)*H25</f>
        <v>#DIV/0!</v>
      </c>
      <c r="X25" s="14"/>
      <c r="Y25" s="17"/>
      <c r="Z25" s="14">
        <v>0</v>
      </c>
    </row>
    <row r="26" spans="1:29" x14ac:dyDescent="0.2">
      <c r="L26" s="6"/>
    </row>
    <row r="27" spans="1:29" x14ac:dyDescent="0.2">
      <c r="L27" s="6"/>
    </row>
  </sheetData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19" sqref="J19"/>
    </sheetView>
  </sheetViews>
  <sheetFormatPr defaultColWidth="8.75" defaultRowHeight="14.25" x14ac:dyDescent="0.2"/>
  <cols>
    <col min="1" max="1" width="35.5" style="2" customWidth="1"/>
    <col min="2" max="4" width="6.5" style="2" customWidth="1"/>
    <col min="5" max="5" width="6.25" style="2" bestFit="1" customWidth="1"/>
    <col min="6" max="9" width="6.25" style="2" customWidth="1"/>
    <col min="10" max="10" width="9.875" style="26" customWidth="1"/>
    <col min="11" max="11" width="9.125" style="26" customWidth="1"/>
    <col min="12" max="12" width="8.125" style="26" customWidth="1"/>
    <col min="13" max="14" width="8.75" style="26" customWidth="1"/>
    <col min="15" max="15" width="9.375" style="26" customWidth="1"/>
    <col min="16" max="16" width="8.75" style="26" customWidth="1"/>
    <col min="17" max="18" width="10.75" style="26" customWidth="1"/>
    <col min="19" max="19" width="8.375" style="26" bestFit="1" customWidth="1"/>
    <col min="20" max="20" width="8.375" style="26" customWidth="1"/>
    <col min="21" max="21" width="11" style="26" customWidth="1"/>
    <col min="22" max="22" width="10.75" style="26" customWidth="1"/>
    <col min="23" max="23" width="10.375" style="26" bestFit="1" customWidth="1"/>
    <col min="24" max="24" width="7.375" style="26" customWidth="1"/>
    <col min="25" max="25" width="9.375" style="26" customWidth="1"/>
    <col min="26" max="26" width="11" style="26" customWidth="1"/>
    <col min="27" max="28" width="11.625" style="26" customWidth="1"/>
    <col min="29" max="16384" width="8.75" style="2"/>
  </cols>
  <sheetData>
    <row r="1" spans="1:28" s="3" customFormat="1" ht="71.25" x14ac:dyDescent="0.2">
      <c r="A1" s="3" t="s">
        <v>0</v>
      </c>
      <c r="B1" s="3" t="s">
        <v>457</v>
      </c>
      <c r="C1" s="3" t="s">
        <v>459</v>
      </c>
      <c r="D1" s="3" t="s">
        <v>458</v>
      </c>
      <c r="E1" s="3" t="s">
        <v>1</v>
      </c>
      <c r="F1" s="3" t="s">
        <v>212</v>
      </c>
      <c r="G1" s="3" t="s">
        <v>213</v>
      </c>
      <c r="H1" s="3" t="s">
        <v>214</v>
      </c>
      <c r="I1" s="3" t="s">
        <v>401</v>
      </c>
      <c r="J1" s="23" t="s">
        <v>2</v>
      </c>
      <c r="K1" s="23" t="s">
        <v>4</v>
      </c>
      <c r="L1" s="23" t="s">
        <v>8</v>
      </c>
      <c r="M1" s="23" t="s">
        <v>462</v>
      </c>
      <c r="N1" s="23" t="s">
        <v>461</v>
      </c>
      <c r="O1" s="23" t="s">
        <v>471</v>
      </c>
      <c r="P1" s="23" t="s">
        <v>44</v>
      </c>
      <c r="Q1" s="23" t="s">
        <v>451</v>
      </c>
      <c r="R1" s="23" t="s">
        <v>450</v>
      </c>
      <c r="S1" s="23" t="s">
        <v>43</v>
      </c>
      <c r="T1" s="23" t="s">
        <v>452</v>
      </c>
      <c r="U1" s="23" t="s">
        <v>9</v>
      </c>
      <c r="V1" s="23" t="s">
        <v>10</v>
      </c>
      <c r="W1" s="23" t="s">
        <v>12</v>
      </c>
      <c r="X1" s="23" t="s">
        <v>13</v>
      </c>
      <c r="Y1" s="23" t="s">
        <v>45</v>
      </c>
      <c r="Z1" s="23" t="s">
        <v>42</v>
      </c>
      <c r="AA1" s="23" t="s">
        <v>41</v>
      </c>
      <c r="AB1" s="23" t="s">
        <v>40</v>
      </c>
    </row>
    <row r="2" spans="1:28" x14ac:dyDescent="0.2">
      <c r="A2" s="2" t="s">
        <v>479</v>
      </c>
      <c r="E2" s="2" t="s">
        <v>502</v>
      </c>
      <c r="F2" s="2">
        <v>0</v>
      </c>
      <c r="G2" s="2">
        <v>0</v>
      </c>
      <c r="H2" s="2">
        <v>0</v>
      </c>
      <c r="I2" s="2">
        <v>0</v>
      </c>
      <c r="O2" s="26">
        <v>23.725000000000001</v>
      </c>
    </row>
    <row r="3" spans="1:28" x14ac:dyDescent="0.2">
      <c r="A3" s="2" t="s">
        <v>151</v>
      </c>
      <c r="E3" s="2" t="s">
        <v>502</v>
      </c>
      <c r="F3" s="2">
        <v>0</v>
      </c>
      <c r="G3" s="2">
        <v>0</v>
      </c>
      <c r="H3" s="2">
        <v>0</v>
      </c>
      <c r="I3" s="2">
        <v>0</v>
      </c>
      <c r="J3" s="26">
        <f>23.496*6.503</f>
        <v>152.794488</v>
      </c>
      <c r="K3" s="26">
        <f>23.496*6.503</f>
        <v>152.794488</v>
      </c>
      <c r="L3" s="26">
        <f>SUM(P3:T3)</f>
        <v>16.888290999999999</v>
      </c>
      <c r="M3" s="26">
        <f>N3+SUM(Q3:T3)</f>
        <v>6.5</v>
      </c>
      <c r="N3" s="26">
        <f>SUM(Z3:AB3)</f>
        <v>6.5</v>
      </c>
      <c r="P3" s="26">
        <f>SUM(U3:Y3)</f>
        <v>16.888290999999999</v>
      </c>
      <c r="Y3" s="26">
        <f>2.597*6.503</f>
        <v>16.888290999999999</v>
      </c>
      <c r="Z3" s="26">
        <v>6.5</v>
      </c>
    </row>
    <row r="4" spans="1:28" x14ac:dyDescent="0.2">
      <c r="A4" s="2" t="s">
        <v>150</v>
      </c>
      <c r="E4" s="2" t="s">
        <v>502</v>
      </c>
      <c r="F4" s="2">
        <v>0</v>
      </c>
      <c r="G4" s="2">
        <v>0</v>
      </c>
      <c r="H4" s="2">
        <v>0</v>
      </c>
      <c r="I4" s="2">
        <v>0</v>
      </c>
      <c r="L4" s="26">
        <f>SUM(P4:T4)</f>
        <v>0</v>
      </c>
      <c r="M4" s="26">
        <f>N4+SUM(Q4:T4)</f>
        <v>60</v>
      </c>
      <c r="N4" s="26">
        <f>SUM(Z4:AB4)</f>
        <v>60</v>
      </c>
      <c r="P4" s="26">
        <f>SUM(U4:Y4)</f>
        <v>0</v>
      </c>
      <c r="AB4" s="26">
        <v>60</v>
      </c>
    </row>
  </sheetData>
  <pageMargins left="0.7" right="0.7" top="0.75" bottom="0.75" header="0.3" footer="0.3"/>
  <pageSetup paperSize="9" orientation="portrait" horizontalDpi="4294967292" verticalDpi="4294967292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08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10" sqref="A10"/>
    </sheetView>
  </sheetViews>
  <sheetFormatPr defaultColWidth="8.75" defaultRowHeight="14.25" x14ac:dyDescent="0.2"/>
  <cols>
    <col min="1" max="1" width="46.25" style="2" customWidth="1"/>
    <col min="2" max="4" width="6.5" style="2" customWidth="1"/>
    <col min="5" max="5" width="6.25" style="2" bestFit="1" customWidth="1"/>
    <col min="6" max="9" width="6.25" style="2" customWidth="1"/>
    <col min="10" max="16384" width="8.75" style="2"/>
  </cols>
  <sheetData>
    <row r="1" spans="1:9" s="3" customFormat="1" ht="71.25" x14ac:dyDescent="0.2">
      <c r="A1" s="3" t="s">
        <v>0</v>
      </c>
      <c r="B1" s="3" t="s">
        <v>457</v>
      </c>
      <c r="C1" s="3" t="s">
        <v>459</v>
      </c>
      <c r="D1" s="3" t="s">
        <v>458</v>
      </c>
      <c r="E1" s="3" t="s">
        <v>1</v>
      </c>
      <c r="F1" s="3" t="s">
        <v>212</v>
      </c>
      <c r="G1" s="3" t="s">
        <v>213</v>
      </c>
      <c r="H1" s="3" t="s">
        <v>214</v>
      </c>
      <c r="I1" s="3" t="s">
        <v>401</v>
      </c>
    </row>
    <row r="2" spans="1:9" x14ac:dyDescent="0.2">
      <c r="A2" s="2" t="s">
        <v>72</v>
      </c>
      <c r="B2" s="2">
        <v>1</v>
      </c>
      <c r="E2" s="2" t="s">
        <v>502</v>
      </c>
      <c r="F2" s="2">
        <v>0</v>
      </c>
      <c r="G2" s="2">
        <v>1</v>
      </c>
      <c r="H2" s="2">
        <v>0</v>
      </c>
      <c r="I2" s="2">
        <v>0</v>
      </c>
    </row>
    <row r="3" spans="1:9" x14ac:dyDescent="0.2">
      <c r="A3" s="2" t="s">
        <v>75</v>
      </c>
      <c r="B3" s="2">
        <v>1</v>
      </c>
      <c r="E3" s="2" t="s">
        <v>502</v>
      </c>
      <c r="F3" s="2">
        <v>0</v>
      </c>
      <c r="G3" s="2">
        <v>1</v>
      </c>
      <c r="H3" s="2">
        <v>0</v>
      </c>
      <c r="I3" s="2">
        <v>0</v>
      </c>
    </row>
    <row r="4" spans="1:9" x14ac:dyDescent="0.2">
      <c r="A4" s="2" t="s">
        <v>112</v>
      </c>
      <c r="B4" s="2">
        <v>1</v>
      </c>
      <c r="E4" s="2" t="s">
        <v>502</v>
      </c>
      <c r="F4" s="2">
        <v>0</v>
      </c>
      <c r="G4" s="2">
        <v>1</v>
      </c>
      <c r="H4" s="2">
        <v>0</v>
      </c>
      <c r="I4" s="2">
        <v>0</v>
      </c>
    </row>
    <row r="5" spans="1:9" x14ac:dyDescent="0.2">
      <c r="A5" s="2" t="s">
        <v>76</v>
      </c>
      <c r="B5" s="2">
        <v>1</v>
      </c>
      <c r="E5" s="2" t="s">
        <v>502</v>
      </c>
      <c r="F5" s="2">
        <v>0</v>
      </c>
      <c r="G5" s="2">
        <v>1</v>
      </c>
      <c r="H5" s="2">
        <v>0</v>
      </c>
      <c r="I5" s="2">
        <v>0</v>
      </c>
    </row>
    <row r="6" spans="1:9" x14ac:dyDescent="0.2">
      <c r="A6" s="2" t="s">
        <v>77</v>
      </c>
      <c r="B6" s="2">
        <v>1</v>
      </c>
      <c r="E6" s="2" t="s">
        <v>502</v>
      </c>
      <c r="F6" s="2">
        <v>0</v>
      </c>
      <c r="G6" s="2">
        <v>1</v>
      </c>
      <c r="H6" s="2">
        <v>0</v>
      </c>
      <c r="I6" s="2">
        <v>0</v>
      </c>
    </row>
    <row r="7" spans="1:9" x14ac:dyDescent="0.2">
      <c r="A7" s="2" t="s">
        <v>78</v>
      </c>
      <c r="B7" s="2">
        <v>1</v>
      </c>
      <c r="E7" s="2" t="s">
        <v>502</v>
      </c>
      <c r="F7" s="2">
        <v>0</v>
      </c>
      <c r="G7" s="2">
        <v>1</v>
      </c>
      <c r="H7" s="2">
        <v>0</v>
      </c>
      <c r="I7" s="2">
        <v>0</v>
      </c>
    </row>
    <row r="8" spans="1:9" x14ac:dyDescent="0.2">
      <c r="A8" s="2" t="s">
        <v>79</v>
      </c>
      <c r="B8" s="2">
        <v>1</v>
      </c>
      <c r="E8" s="2" t="s">
        <v>502</v>
      </c>
      <c r="F8" s="2">
        <v>0</v>
      </c>
      <c r="G8" s="2">
        <v>1</v>
      </c>
      <c r="H8" s="2">
        <v>0</v>
      </c>
      <c r="I8" s="2">
        <v>0</v>
      </c>
    </row>
    <row r="9" spans="1:9" x14ac:dyDescent="0.2">
      <c r="A9" s="2" t="s">
        <v>80</v>
      </c>
      <c r="B9" s="2">
        <v>1</v>
      </c>
      <c r="E9" s="2" t="s">
        <v>502</v>
      </c>
      <c r="F9" s="2">
        <v>0</v>
      </c>
      <c r="G9" s="2">
        <v>1</v>
      </c>
      <c r="H9" s="2">
        <v>0</v>
      </c>
      <c r="I9" s="2">
        <v>0</v>
      </c>
    </row>
    <row r="10" spans="1:9" x14ac:dyDescent="0.2">
      <c r="A10" s="2" t="s">
        <v>81</v>
      </c>
      <c r="B10" s="2">
        <v>1</v>
      </c>
      <c r="E10" s="2" t="s">
        <v>502</v>
      </c>
      <c r="F10" s="2">
        <v>0</v>
      </c>
      <c r="G10" s="2">
        <v>1</v>
      </c>
      <c r="H10" s="2">
        <v>0</v>
      </c>
      <c r="I10" s="2">
        <v>0</v>
      </c>
    </row>
    <row r="11" spans="1:9" x14ac:dyDescent="0.2">
      <c r="A11" s="2" t="s">
        <v>83</v>
      </c>
      <c r="B11" s="2">
        <v>1</v>
      </c>
      <c r="E11" s="2" t="s">
        <v>502</v>
      </c>
      <c r="F11" s="2">
        <v>0</v>
      </c>
      <c r="G11" s="2">
        <v>1</v>
      </c>
      <c r="H11" s="2">
        <v>1</v>
      </c>
      <c r="I11" s="2">
        <v>0</v>
      </c>
    </row>
    <row r="12" spans="1:9" x14ac:dyDescent="0.2">
      <c r="A12" s="2" t="s">
        <v>87</v>
      </c>
      <c r="B12" s="2">
        <v>1</v>
      </c>
      <c r="E12" s="2" t="s">
        <v>502</v>
      </c>
      <c r="F12" s="2">
        <v>0</v>
      </c>
      <c r="G12" s="2">
        <v>1</v>
      </c>
      <c r="H12" s="2">
        <v>0</v>
      </c>
      <c r="I12" s="2">
        <v>0</v>
      </c>
    </row>
    <row r="13" spans="1:9" x14ac:dyDescent="0.2">
      <c r="A13" s="2" t="s">
        <v>302</v>
      </c>
      <c r="B13" s="2">
        <v>1</v>
      </c>
      <c r="E13" s="2" t="s">
        <v>502</v>
      </c>
      <c r="F13" s="2">
        <v>0</v>
      </c>
      <c r="G13" s="2">
        <v>0</v>
      </c>
      <c r="H13" s="2">
        <v>1</v>
      </c>
      <c r="I13" s="2">
        <v>0</v>
      </c>
    </row>
    <row r="14" spans="1:9" x14ac:dyDescent="0.2">
      <c r="A14" s="2" t="s">
        <v>90</v>
      </c>
      <c r="B14" s="2">
        <v>1</v>
      </c>
      <c r="E14" s="2" t="s">
        <v>502</v>
      </c>
      <c r="F14" s="2">
        <v>0</v>
      </c>
      <c r="G14" s="2">
        <v>1</v>
      </c>
      <c r="H14" s="2">
        <v>0</v>
      </c>
      <c r="I14" s="2">
        <v>0</v>
      </c>
    </row>
    <row r="15" spans="1:9" x14ac:dyDescent="0.2">
      <c r="A15" s="2" t="s">
        <v>92</v>
      </c>
      <c r="B15" s="2">
        <v>1</v>
      </c>
      <c r="E15" s="2" t="s">
        <v>502</v>
      </c>
      <c r="F15" s="2">
        <v>0</v>
      </c>
      <c r="G15" s="2">
        <v>1</v>
      </c>
      <c r="H15" s="2">
        <v>0</v>
      </c>
      <c r="I15" s="2">
        <v>0</v>
      </c>
    </row>
    <row r="16" spans="1:9" x14ac:dyDescent="0.2">
      <c r="A16" s="2" t="s">
        <v>303</v>
      </c>
      <c r="B16" s="2">
        <v>1</v>
      </c>
      <c r="E16" s="2" t="s">
        <v>502</v>
      </c>
      <c r="F16" s="2">
        <v>0</v>
      </c>
      <c r="G16" s="2">
        <v>0</v>
      </c>
      <c r="H16" s="2">
        <v>1</v>
      </c>
      <c r="I16" s="2">
        <v>0</v>
      </c>
    </row>
    <row r="17" spans="1:9" x14ac:dyDescent="0.2">
      <c r="A17" s="2" t="s">
        <v>304</v>
      </c>
      <c r="B17" s="2">
        <v>1</v>
      </c>
      <c r="E17" s="2" t="s">
        <v>502</v>
      </c>
      <c r="F17" s="2">
        <v>0</v>
      </c>
      <c r="G17" s="2">
        <v>0</v>
      </c>
      <c r="H17" s="2">
        <v>1</v>
      </c>
      <c r="I17" s="2">
        <v>0</v>
      </c>
    </row>
    <row r="18" spans="1:9" x14ac:dyDescent="0.2">
      <c r="A18" s="2" t="s">
        <v>305</v>
      </c>
      <c r="B18" s="2">
        <v>1</v>
      </c>
      <c r="E18" s="2" t="s">
        <v>502</v>
      </c>
      <c r="F18" s="2">
        <v>0</v>
      </c>
      <c r="G18" s="2">
        <v>0</v>
      </c>
      <c r="H18" s="2">
        <v>1</v>
      </c>
      <c r="I18" s="2">
        <v>0</v>
      </c>
    </row>
    <row r="19" spans="1:9" x14ac:dyDescent="0.2">
      <c r="A19" s="2" t="s">
        <v>306</v>
      </c>
      <c r="B19" s="2">
        <v>1</v>
      </c>
      <c r="E19" s="2" t="s">
        <v>502</v>
      </c>
      <c r="F19" s="2">
        <v>0</v>
      </c>
      <c r="G19" s="2">
        <v>0</v>
      </c>
      <c r="H19" s="2">
        <v>1</v>
      </c>
      <c r="I19" s="2">
        <v>0</v>
      </c>
    </row>
    <row r="20" spans="1:9" x14ac:dyDescent="0.2">
      <c r="A20" s="2" t="s">
        <v>96</v>
      </c>
      <c r="B20" s="2">
        <v>1</v>
      </c>
      <c r="E20" s="2" t="s">
        <v>502</v>
      </c>
      <c r="F20" s="2">
        <v>0</v>
      </c>
      <c r="G20" s="2">
        <v>1</v>
      </c>
      <c r="H20" s="2">
        <v>0</v>
      </c>
      <c r="I20" s="2">
        <v>0</v>
      </c>
    </row>
    <row r="21" spans="1:9" x14ac:dyDescent="0.2">
      <c r="A21" s="2" t="s">
        <v>98</v>
      </c>
      <c r="B21" s="2">
        <v>1</v>
      </c>
      <c r="E21" s="2" t="s">
        <v>502</v>
      </c>
      <c r="F21" s="2">
        <v>0</v>
      </c>
      <c r="G21" s="2">
        <v>1</v>
      </c>
      <c r="H21" s="2">
        <v>0</v>
      </c>
      <c r="I21" s="2">
        <v>0</v>
      </c>
    </row>
    <row r="22" spans="1:9" x14ac:dyDescent="0.2">
      <c r="A22" s="2" t="s">
        <v>101</v>
      </c>
      <c r="B22" s="2">
        <v>1</v>
      </c>
      <c r="E22" s="2" t="s">
        <v>502</v>
      </c>
      <c r="F22" s="2">
        <v>0</v>
      </c>
      <c r="G22" s="2">
        <v>1</v>
      </c>
      <c r="H22" s="2">
        <v>0</v>
      </c>
      <c r="I22" s="2">
        <v>0</v>
      </c>
    </row>
    <row r="23" spans="1:9" x14ac:dyDescent="0.2">
      <c r="A23" s="2" t="s">
        <v>102</v>
      </c>
      <c r="B23" s="2">
        <v>1</v>
      </c>
      <c r="E23" s="2" t="s">
        <v>502</v>
      </c>
      <c r="F23" s="2">
        <v>0</v>
      </c>
      <c r="G23" s="2">
        <v>1</v>
      </c>
      <c r="H23" s="2">
        <v>0</v>
      </c>
      <c r="I23" s="2">
        <v>0</v>
      </c>
    </row>
    <row r="24" spans="1:9" x14ac:dyDescent="0.2">
      <c r="A24" s="2" t="s">
        <v>105</v>
      </c>
      <c r="B24" s="2">
        <v>1</v>
      </c>
      <c r="E24" s="2" t="s">
        <v>502</v>
      </c>
      <c r="F24" s="2">
        <v>0</v>
      </c>
      <c r="G24" s="2">
        <v>1</v>
      </c>
      <c r="H24" s="2">
        <v>0</v>
      </c>
      <c r="I24" s="2">
        <v>0</v>
      </c>
    </row>
    <row r="25" spans="1:9" x14ac:dyDescent="0.2">
      <c r="A25" s="2" t="s">
        <v>107</v>
      </c>
      <c r="B25" s="2">
        <v>1</v>
      </c>
      <c r="E25" s="2" t="s">
        <v>502</v>
      </c>
      <c r="F25" s="2">
        <v>0</v>
      </c>
      <c r="G25" s="2">
        <v>1</v>
      </c>
      <c r="H25" s="2">
        <v>0</v>
      </c>
      <c r="I25" s="2">
        <v>0</v>
      </c>
    </row>
    <row r="26" spans="1:9" x14ac:dyDescent="0.2">
      <c r="A26" s="2" t="s">
        <v>307</v>
      </c>
      <c r="B26" s="2">
        <v>1</v>
      </c>
      <c r="E26" s="2" t="s">
        <v>502</v>
      </c>
      <c r="F26" s="2">
        <v>0</v>
      </c>
      <c r="G26" s="2">
        <v>0</v>
      </c>
      <c r="H26" s="2">
        <v>1</v>
      </c>
      <c r="I26" s="2">
        <v>0</v>
      </c>
    </row>
    <row r="27" spans="1:9" x14ac:dyDescent="0.2">
      <c r="A27" s="2" t="s">
        <v>110</v>
      </c>
      <c r="B27" s="2">
        <v>1</v>
      </c>
      <c r="E27" s="2" t="s">
        <v>502</v>
      </c>
      <c r="F27" s="2">
        <v>0</v>
      </c>
      <c r="G27" s="2">
        <v>1</v>
      </c>
      <c r="H27" s="2">
        <v>0</v>
      </c>
      <c r="I27" s="2">
        <v>0</v>
      </c>
    </row>
    <row r="28" spans="1:9" x14ac:dyDescent="0.2">
      <c r="A28" s="2" t="s">
        <v>111</v>
      </c>
      <c r="B28" s="2">
        <v>1</v>
      </c>
      <c r="E28" s="2" t="s">
        <v>502</v>
      </c>
      <c r="F28" s="2">
        <v>0</v>
      </c>
      <c r="G28" s="2">
        <v>1</v>
      </c>
      <c r="H28" s="2">
        <v>0</v>
      </c>
      <c r="I28" s="2">
        <v>0</v>
      </c>
    </row>
    <row r="29" spans="1:9" ht="13.5" customHeight="1" x14ac:dyDescent="0.2">
      <c r="A29" s="2" t="s">
        <v>113</v>
      </c>
      <c r="B29" s="2">
        <v>1</v>
      </c>
      <c r="E29" s="2" t="s">
        <v>502</v>
      </c>
      <c r="F29" s="2">
        <v>0</v>
      </c>
      <c r="G29" s="2">
        <v>1</v>
      </c>
      <c r="H29" s="2">
        <v>0</v>
      </c>
      <c r="I29" s="2">
        <v>0</v>
      </c>
    </row>
    <row r="30" spans="1:9" x14ac:dyDescent="0.2">
      <c r="A30" s="2" t="s">
        <v>115</v>
      </c>
      <c r="B30" s="2">
        <v>1</v>
      </c>
      <c r="E30" s="2" t="s">
        <v>502</v>
      </c>
      <c r="F30" s="2">
        <v>0</v>
      </c>
      <c r="G30" s="2">
        <v>1</v>
      </c>
      <c r="H30" s="2">
        <v>0</v>
      </c>
      <c r="I30" s="2">
        <v>0</v>
      </c>
    </row>
    <row r="31" spans="1:9" x14ac:dyDescent="0.2">
      <c r="A31" s="2" t="s">
        <v>114</v>
      </c>
      <c r="B31" s="2">
        <v>1</v>
      </c>
      <c r="E31" s="2" t="s">
        <v>502</v>
      </c>
      <c r="F31" s="2">
        <v>0</v>
      </c>
      <c r="G31" s="2">
        <v>1</v>
      </c>
      <c r="H31" s="2">
        <v>0</v>
      </c>
      <c r="I31" s="2">
        <v>0</v>
      </c>
    </row>
    <row r="32" spans="1:9" x14ac:dyDescent="0.2">
      <c r="A32" s="2" t="s">
        <v>152</v>
      </c>
      <c r="B32" s="2">
        <v>1</v>
      </c>
      <c r="E32" s="2" t="s">
        <v>502</v>
      </c>
      <c r="F32" s="2">
        <v>0</v>
      </c>
      <c r="G32" s="2">
        <v>0</v>
      </c>
      <c r="H32" s="2">
        <v>0</v>
      </c>
      <c r="I32" s="2">
        <v>0</v>
      </c>
    </row>
    <row r="33" spans="1:9" x14ac:dyDescent="0.2">
      <c r="A33" s="2" t="s">
        <v>116</v>
      </c>
      <c r="B33" s="2">
        <v>1</v>
      </c>
      <c r="E33" s="2" t="s">
        <v>502</v>
      </c>
      <c r="F33" s="2">
        <v>0</v>
      </c>
      <c r="G33" s="2">
        <v>1</v>
      </c>
      <c r="H33" s="2">
        <v>0</v>
      </c>
      <c r="I33" s="2">
        <v>0</v>
      </c>
    </row>
    <row r="34" spans="1:9" x14ac:dyDescent="0.2">
      <c r="A34" s="2" t="s">
        <v>117</v>
      </c>
      <c r="B34" s="2">
        <v>1</v>
      </c>
      <c r="E34" s="2" t="s">
        <v>502</v>
      </c>
      <c r="F34" s="2">
        <v>0</v>
      </c>
      <c r="G34" s="2">
        <v>1</v>
      </c>
      <c r="H34" s="2">
        <v>0</v>
      </c>
      <c r="I34" s="2">
        <v>0</v>
      </c>
    </row>
    <row r="35" spans="1:9" x14ac:dyDescent="0.2">
      <c r="A35" s="2" t="s">
        <v>118</v>
      </c>
      <c r="B35" s="2">
        <v>1</v>
      </c>
      <c r="E35" s="2" t="s">
        <v>502</v>
      </c>
      <c r="F35" s="2">
        <v>0</v>
      </c>
      <c r="G35" s="2">
        <v>1</v>
      </c>
      <c r="H35" s="2">
        <v>0</v>
      </c>
      <c r="I35" s="2">
        <v>0</v>
      </c>
    </row>
    <row r="36" spans="1:9" x14ac:dyDescent="0.2">
      <c r="A36" s="2" t="s">
        <v>120</v>
      </c>
      <c r="B36" s="2">
        <v>1</v>
      </c>
      <c r="E36" s="2" t="s">
        <v>502</v>
      </c>
      <c r="F36" s="2">
        <v>0</v>
      </c>
      <c r="G36" s="2">
        <v>1</v>
      </c>
      <c r="H36" s="2">
        <v>0</v>
      </c>
      <c r="I36" s="2">
        <v>0</v>
      </c>
    </row>
    <row r="37" spans="1:9" x14ac:dyDescent="0.2">
      <c r="A37" s="2" t="s">
        <v>121</v>
      </c>
      <c r="B37" s="2">
        <v>1</v>
      </c>
      <c r="E37" s="2" t="s">
        <v>502</v>
      </c>
      <c r="F37" s="2">
        <v>0</v>
      </c>
      <c r="G37" s="2">
        <v>1</v>
      </c>
      <c r="H37" s="2">
        <v>0</v>
      </c>
      <c r="I37" s="2">
        <v>0</v>
      </c>
    </row>
    <row r="38" spans="1:9" x14ac:dyDescent="0.2">
      <c r="A38" s="2" t="s">
        <v>122</v>
      </c>
      <c r="B38" s="2">
        <v>1</v>
      </c>
      <c r="E38" s="2" t="s">
        <v>502</v>
      </c>
      <c r="F38" s="2">
        <v>0</v>
      </c>
      <c r="G38" s="2">
        <v>1</v>
      </c>
      <c r="H38" s="2">
        <v>0</v>
      </c>
      <c r="I38" s="2">
        <v>0</v>
      </c>
    </row>
    <row r="39" spans="1:9" x14ac:dyDescent="0.2">
      <c r="A39" s="2" t="s">
        <v>124</v>
      </c>
      <c r="B39" s="2">
        <v>1</v>
      </c>
      <c r="E39" s="2" t="s">
        <v>502</v>
      </c>
      <c r="F39" s="2">
        <v>0</v>
      </c>
      <c r="G39" s="2">
        <v>1</v>
      </c>
      <c r="H39" s="2">
        <v>0</v>
      </c>
      <c r="I39" s="2">
        <v>0</v>
      </c>
    </row>
    <row r="40" spans="1:9" x14ac:dyDescent="0.2">
      <c r="A40" s="2" t="s">
        <v>126</v>
      </c>
      <c r="B40" s="2">
        <v>1</v>
      </c>
      <c r="E40" s="2" t="s">
        <v>502</v>
      </c>
      <c r="F40" s="2">
        <v>0</v>
      </c>
      <c r="G40" s="2">
        <v>1</v>
      </c>
      <c r="H40" s="2">
        <v>0</v>
      </c>
      <c r="I40" s="2">
        <v>0</v>
      </c>
    </row>
    <row r="41" spans="1:9" x14ac:dyDescent="0.2">
      <c r="A41" s="2" t="s">
        <v>130</v>
      </c>
      <c r="B41" s="2">
        <v>1</v>
      </c>
      <c r="E41" s="2" t="s">
        <v>502</v>
      </c>
      <c r="F41" s="2">
        <v>0</v>
      </c>
      <c r="G41" s="2">
        <v>1</v>
      </c>
      <c r="H41" s="2">
        <v>0</v>
      </c>
      <c r="I41" s="2">
        <v>0</v>
      </c>
    </row>
    <row r="42" spans="1:9" x14ac:dyDescent="0.2">
      <c r="A42" s="2" t="s">
        <v>131</v>
      </c>
      <c r="B42" s="2">
        <v>1</v>
      </c>
      <c r="E42" s="2" t="s">
        <v>502</v>
      </c>
      <c r="F42" s="2">
        <v>0</v>
      </c>
      <c r="G42" s="2">
        <v>1</v>
      </c>
      <c r="H42" s="2">
        <v>0</v>
      </c>
      <c r="I42" s="2">
        <v>0</v>
      </c>
    </row>
    <row r="43" spans="1:9" x14ac:dyDescent="0.2">
      <c r="A43" s="2" t="s">
        <v>132</v>
      </c>
      <c r="B43" s="2">
        <v>1</v>
      </c>
      <c r="E43" s="2" t="s">
        <v>502</v>
      </c>
      <c r="F43" s="2">
        <v>0</v>
      </c>
      <c r="G43" s="2">
        <v>1</v>
      </c>
      <c r="H43" s="2">
        <v>0</v>
      </c>
      <c r="I43" s="2">
        <v>0</v>
      </c>
    </row>
    <row r="44" spans="1:9" x14ac:dyDescent="0.2">
      <c r="A44" s="2" t="s">
        <v>133</v>
      </c>
      <c r="B44" s="2">
        <v>1</v>
      </c>
      <c r="E44" s="2" t="s">
        <v>502</v>
      </c>
      <c r="F44" s="2">
        <v>0</v>
      </c>
      <c r="G44" s="2">
        <v>1</v>
      </c>
      <c r="H44" s="2">
        <v>0</v>
      </c>
      <c r="I44" s="2">
        <v>0</v>
      </c>
    </row>
    <row r="45" spans="1:9" x14ac:dyDescent="0.2">
      <c r="A45" s="2" t="s">
        <v>135</v>
      </c>
      <c r="B45" s="2">
        <v>1</v>
      </c>
      <c r="E45" s="2" t="s">
        <v>502</v>
      </c>
      <c r="F45" s="2">
        <v>0</v>
      </c>
      <c r="G45" s="2">
        <v>1</v>
      </c>
      <c r="H45" s="2">
        <v>0</v>
      </c>
      <c r="I45" s="2">
        <v>0</v>
      </c>
    </row>
    <row r="46" spans="1:9" x14ac:dyDescent="0.2">
      <c r="A46" s="2" t="s">
        <v>137</v>
      </c>
      <c r="B46" s="2">
        <v>1</v>
      </c>
      <c r="E46" s="2" t="s">
        <v>502</v>
      </c>
      <c r="F46" s="2">
        <v>0</v>
      </c>
      <c r="G46" s="2">
        <v>1</v>
      </c>
      <c r="H46" s="2">
        <v>0</v>
      </c>
      <c r="I46" s="2">
        <v>0</v>
      </c>
    </row>
    <row r="47" spans="1:9" x14ac:dyDescent="0.2">
      <c r="A47" s="2" t="s">
        <v>138</v>
      </c>
      <c r="B47" s="2">
        <v>1</v>
      </c>
      <c r="E47" s="2" t="s">
        <v>502</v>
      </c>
      <c r="F47" s="2">
        <v>0</v>
      </c>
      <c r="G47" s="2">
        <v>1</v>
      </c>
      <c r="H47" s="2">
        <v>0</v>
      </c>
      <c r="I47" s="2">
        <v>0</v>
      </c>
    </row>
    <row r="48" spans="1:9" x14ac:dyDescent="0.2">
      <c r="A48" s="2" t="s">
        <v>308</v>
      </c>
      <c r="B48" s="2">
        <v>1</v>
      </c>
      <c r="E48" s="2" t="s">
        <v>502</v>
      </c>
      <c r="F48" s="2">
        <v>0</v>
      </c>
      <c r="G48" s="2">
        <v>0</v>
      </c>
      <c r="H48" s="2">
        <v>1</v>
      </c>
      <c r="I48" s="2">
        <v>0</v>
      </c>
    </row>
    <row r="49" spans="1:9" x14ac:dyDescent="0.2">
      <c r="A49" s="2" t="s">
        <v>139</v>
      </c>
      <c r="B49" s="2">
        <v>1</v>
      </c>
      <c r="E49" s="2" t="s">
        <v>502</v>
      </c>
      <c r="F49" s="2">
        <v>0</v>
      </c>
      <c r="G49" s="2">
        <v>1</v>
      </c>
      <c r="H49" s="2">
        <v>0</v>
      </c>
      <c r="I49" s="2">
        <v>0</v>
      </c>
    </row>
    <row r="50" spans="1:9" x14ac:dyDescent="0.2">
      <c r="A50" s="2" t="s">
        <v>141</v>
      </c>
      <c r="B50" s="2">
        <v>1</v>
      </c>
      <c r="E50" s="2" t="s">
        <v>502</v>
      </c>
      <c r="F50" s="2">
        <v>0</v>
      </c>
      <c r="G50" s="2">
        <v>1</v>
      </c>
      <c r="H50" s="2">
        <v>0</v>
      </c>
      <c r="I50" s="2">
        <v>0</v>
      </c>
    </row>
    <row r="51" spans="1:9" x14ac:dyDescent="0.2">
      <c r="A51" s="2" t="s">
        <v>309</v>
      </c>
      <c r="B51" s="2">
        <v>1</v>
      </c>
      <c r="E51" s="2" t="s">
        <v>502</v>
      </c>
      <c r="F51" s="2">
        <v>0</v>
      </c>
      <c r="G51" s="2">
        <v>0</v>
      </c>
      <c r="H51" s="2">
        <v>1</v>
      </c>
      <c r="I51" s="2">
        <v>0</v>
      </c>
    </row>
    <row r="52" spans="1:9" x14ac:dyDescent="0.2">
      <c r="A52" s="2" t="s">
        <v>145</v>
      </c>
      <c r="B52" s="2">
        <v>1</v>
      </c>
      <c r="E52" s="2" t="s">
        <v>502</v>
      </c>
      <c r="F52" s="2">
        <v>0</v>
      </c>
      <c r="G52" s="2">
        <v>1</v>
      </c>
      <c r="H52" s="2">
        <v>0</v>
      </c>
      <c r="I52" s="2">
        <v>0</v>
      </c>
    </row>
    <row r="53" spans="1:9" x14ac:dyDescent="0.2">
      <c r="A53" s="2" t="s">
        <v>146</v>
      </c>
      <c r="B53" s="2">
        <v>1</v>
      </c>
      <c r="E53" s="2" t="s">
        <v>502</v>
      </c>
      <c r="F53" s="2">
        <v>0</v>
      </c>
      <c r="G53" s="2">
        <v>1</v>
      </c>
      <c r="H53" s="2">
        <v>0</v>
      </c>
      <c r="I53" s="2">
        <v>0</v>
      </c>
    </row>
    <row r="54" spans="1:9" x14ac:dyDescent="0.2">
      <c r="A54" s="18" t="s">
        <v>215</v>
      </c>
      <c r="B54" s="18">
        <v>1</v>
      </c>
      <c r="C54" s="18"/>
      <c r="D54" s="18"/>
      <c r="E54" s="2" t="s">
        <v>502</v>
      </c>
      <c r="F54" s="2">
        <v>0</v>
      </c>
      <c r="G54" s="2">
        <v>1</v>
      </c>
      <c r="H54" s="2">
        <v>0</v>
      </c>
      <c r="I54" s="2">
        <v>0</v>
      </c>
    </row>
    <row r="55" spans="1:9" x14ac:dyDescent="0.2">
      <c r="A55" s="18" t="s">
        <v>216</v>
      </c>
      <c r="B55" s="18">
        <v>1</v>
      </c>
      <c r="C55" s="18"/>
      <c r="D55" s="18"/>
      <c r="E55" s="2" t="s">
        <v>502</v>
      </c>
      <c r="F55" s="2">
        <v>0</v>
      </c>
      <c r="G55" s="2">
        <v>1</v>
      </c>
      <c r="H55" s="2">
        <v>0</v>
      </c>
      <c r="I55" s="2">
        <v>0</v>
      </c>
    </row>
    <row r="56" spans="1:9" x14ac:dyDescent="0.2">
      <c r="A56" s="18" t="s">
        <v>217</v>
      </c>
      <c r="B56" s="18">
        <v>1</v>
      </c>
      <c r="C56" s="18"/>
      <c r="D56" s="18"/>
      <c r="E56" s="2" t="s">
        <v>502</v>
      </c>
      <c r="F56" s="2">
        <v>0</v>
      </c>
      <c r="G56" s="2">
        <v>1</v>
      </c>
      <c r="H56" s="2">
        <v>0</v>
      </c>
      <c r="I56" s="2">
        <v>0</v>
      </c>
    </row>
    <row r="57" spans="1:9" x14ac:dyDescent="0.2">
      <c r="A57" s="18" t="s">
        <v>218</v>
      </c>
      <c r="B57" s="18">
        <v>1</v>
      </c>
      <c r="C57" s="18"/>
      <c r="D57" s="18"/>
      <c r="E57" s="2" t="s">
        <v>502</v>
      </c>
      <c r="F57" s="2">
        <v>0</v>
      </c>
      <c r="G57" s="2">
        <v>1</v>
      </c>
      <c r="H57" s="2">
        <v>0</v>
      </c>
      <c r="I57" s="2">
        <v>0</v>
      </c>
    </row>
    <row r="58" spans="1:9" x14ac:dyDescent="0.2">
      <c r="A58" s="18" t="s">
        <v>219</v>
      </c>
      <c r="B58" s="18">
        <v>1</v>
      </c>
      <c r="C58" s="18"/>
      <c r="D58" s="18"/>
      <c r="E58" s="2" t="s">
        <v>502</v>
      </c>
      <c r="F58" s="2">
        <v>0</v>
      </c>
      <c r="G58" s="2">
        <v>1</v>
      </c>
      <c r="H58" s="2">
        <v>0</v>
      </c>
      <c r="I58" s="2">
        <v>0</v>
      </c>
    </row>
    <row r="59" spans="1:9" x14ac:dyDescent="0.2">
      <c r="A59" s="18" t="s">
        <v>220</v>
      </c>
      <c r="B59" s="18">
        <v>1</v>
      </c>
      <c r="C59" s="18"/>
      <c r="D59" s="18"/>
      <c r="E59" s="2" t="s">
        <v>502</v>
      </c>
      <c r="F59" s="2">
        <v>0</v>
      </c>
      <c r="G59" s="2">
        <v>1</v>
      </c>
      <c r="H59" s="2">
        <v>0</v>
      </c>
      <c r="I59" s="2">
        <v>0</v>
      </c>
    </row>
    <row r="60" spans="1:9" x14ac:dyDescent="0.2">
      <c r="A60" s="18" t="s">
        <v>221</v>
      </c>
      <c r="B60" s="18">
        <v>1</v>
      </c>
      <c r="C60" s="18"/>
      <c r="D60" s="18"/>
      <c r="E60" s="2" t="s">
        <v>502</v>
      </c>
      <c r="F60" s="2">
        <v>0</v>
      </c>
      <c r="G60" s="2">
        <v>1</v>
      </c>
      <c r="H60" s="2">
        <v>0</v>
      </c>
      <c r="I60" s="2">
        <v>0</v>
      </c>
    </row>
    <row r="61" spans="1:9" x14ac:dyDescent="0.2">
      <c r="A61" s="18" t="s">
        <v>222</v>
      </c>
      <c r="B61" s="18">
        <v>1</v>
      </c>
      <c r="C61" s="18"/>
      <c r="D61" s="18"/>
      <c r="E61" s="2" t="s">
        <v>502</v>
      </c>
      <c r="F61" s="2">
        <v>0</v>
      </c>
      <c r="G61" s="2">
        <v>1</v>
      </c>
      <c r="H61" s="2">
        <v>0</v>
      </c>
      <c r="I61" s="2">
        <v>0</v>
      </c>
    </row>
    <row r="62" spans="1:9" x14ac:dyDescent="0.2">
      <c r="A62" s="18" t="s">
        <v>223</v>
      </c>
      <c r="B62" s="18">
        <v>1</v>
      </c>
      <c r="C62" s="18"/>
      <c r="D62" s="18"/>
      <c r="E62" s="2" t="s">
        <v>502</v>
      </c>
      <c r="F62" s="2">
        <v>0</v>
      </c>
      <c r="G62" s="2">
        <v>1</v>
      </c>
      <c r="H62" s="2">
        <v>0</v>
      </c>
      <c r="I62" s="2">
        <v>0</v>
      </c>
    </row>
    <row r="63" spans="1:9" x14ac:dyDescent="0.2">
      <c r="A63" s="18" t="s">
        <v>224</v>
      </c>
      <c r="B63" s="18">
        <v>1</v>
      </c>
      <c r="C63" s="18"/>
      <c r="D63" s="18"/>
      <c r="E63" s="2" t="s">
        <v>502</v>
      </c>
      <c r="F63" s="2">
        <v>0</v>
      </c>
      <c r="G63" s="2">
        <v>1</v>
      </c>
      <c r="H63" s="2">
        <v>0</v>
      </c>
      <c r="I63" s="2">
        <v>0</v>
      </c>
    </row>
    <row r="64" spans="1:9" x14ac:dyDescent="0.2">
      <c r="A64" s="18" t="s">
        <v>225</v>
      </c>
      <c r="B64" s="18">
        <v>1</v>
      </c>
      <c r="C64" s="18"/>
      <c r="D64" s="18"/>
      <c r="E64" s="2" t="s">
        <v>502</v>
      </c>
      <c r="F64" s="2">
        <v>0</v>
      </c>
      <c r="G64" s="2">
        <v>1</v>
      </c>
      <c r="H64" s="2">
        <v>0</v>
      </c>
      <c r="I64" s="2">
        <v>0</v>
      </c>
    </row>
    <row r="65" spans="1:9" x14ac:dyDescent="0.2">
      <c r="A65" s="18" t="s">
        <v>227</v>
      </c>
      <c r="B65" s="18">
        <v>1</v>
      </c>
      <c r="C65" s="18"/>
      <c r="D65" s="18"/>
      <c r="E65" s="2" t="s">
        <v>502</v>
      </c>
      <c r="F65" s="2">
        <v>0</v>
      </c>
      <c r="G65" s="2">
        <v>1</v>
      </c>
      <c r="H65" s="2">
        <v>0</v>
      </c>
      <c r="I65" s="2">
        <v>0</v>
      </c>
    </row>
    <row r="66" spans="1:9" x14ac:dyDescent="0.2">
      <c r="A66" s="18" t="s">
        <v>226</v>
      </c>
      <c r="B66" s="18">
        <v>1</v>
      </c>
      <c r="C66" s="18"/>
      <c r="D66" s="18"/>
      <c r="E66" s="2" t="s">
        <v>502</v>
      </c>
      <c r="F66" s="2">
        <v>0</v>
      </c>
      <c r="G66" s="2">
        <v>1</v>
      </c>
      <c r="H66" s="2">
        <v>0</v>
      </c>
      <c r="I66" s="2">
        <v>0</v>
      </c>
    </row>
    <row r="67" spans="1:9" x14ac:dyDescent="0.2">
      <c r="A67" s="18" t="s">
        <v>228</v>
      </c>
      <c r="B67" s="18">
        <v>1</v>
      </c>
      <c r="C67" s="18"/>
      <c r="D67" s="18"/>
      <c r="E67" s="2" t="s">
        <v>502</v>
      </c>
      <c r="F67" s="2">
        <v>0</v>
      </c>
      <c r="G67" s="2">
        <v>1</v>
      </c>
      <c r="H67" s="2">
        <v>0</v>
      </c>
      <c r="I67" s="2">
        <v>0</v>
      </c>
    </row>
    <row r="68" spans="1:9" x14ac:dyDescent="0.2">
      <c r="A68" s="18" t="s">
        <v>229</v>
      </c>
      <c r="B68" s="18">
        <v>1</v>
      </c>
      <c r="C68" s="18"/>
      <c r="D68" s="18"/>
      <c r="E68" s="2" t="s">
        <v>502</v>
      </c>
      <c r="F68" s="2">
        <v>0</v>
      </c>
      <c r="G68" s="2">
        <v>1</v>
      </c>
      <c r="H68" s="2">
        <v>0</v>
      </c>
      <c r="I68" s="2">
        <v>0</v>
      </c>
    </row>
    <row r="69" spans="1:9" x14ac:dyDescent="0.2">
      <c r="A69" s="18" t="s">
        <v>230</v>
      </c>
      <c r="B69" s="18">
        <v>1</v>
      </c>
      <c r="C69" s="18"/>
      <c r="D69" s="18"/>
      <c r="E69" s="2" t="s">
        <v>502</v>
      </c>
      <c r="F69" s="2">
        <v>0</v>
      </c>
      <c r="G69" s="2">
        <v>1</v>
      </c>
      <c r="H69" s="2">
        <v>0</v>
      </c>
      <c r="I69" s="2">
        <v>0</v>
      </c>
    </row>
    <row r="70" spans="1:9" x14ac:dyDescent="0.2">
      <c r="A70" s="18" t="s">
        <v>231</v>
      </c>
      <c r="B70" s="18">
        <v>1</v>
      </c>
      <c r="C70" s="18"/>
      <c r="D70" s="18"/>
      <c r="E70" s="2" t="s">
        <v>502</v>
      </c>
      <c r="F70" s="2">
        <v>0</v>
      </c>
      <c r="G70" s="2">
        <v>1</v>
      </c>
      <c r="H70" s="2">
        <v>0</v>
      </c>
      <c r="I70" s="2">
        <v>0</v>
      </c>
    </row>
    <row r="71" spans="1:9" x14ac:dyDescent="0.2">
      <c r="A71" s="18" t="s">
        <v>232</v>
      </c>
      <c r="B71" s="18">
        <v>1</v>
      </c>
      <c r="C71" s="18"/>
      <c r="D71" s="18"/>
      <c r="E71" s="2" t="s">
        <v>502</v>
      </c>
      <c r="F71" s="2">
        <v>0</v>
      </c>
      <c r="G71" s="2">
        <v>1</v>
      </c>
      <c r="H71" s="2">
        <v>0</v>
      </c>
      <c r="I71" s="2">
        <v>0</v>
      </c>
    </row>
    <row r="72" spans="1:9" x14ac:dyDescent="0.2">
      <c r="A72" s="18" t="s">
        <v>233</v>
      </c>
      <c r="B72" s="18">
        <v>1</v>
      </c>
      <c r="C72" s="18"/>
      <c r="D72" s="18"/>
      <c r="E72" s="2" t="s">
        <v>502</v>
      </c>
      <c r="F72" s="2">
        <v>0</v>
      </c>
      <c r="G72" s="2">
        <v>1</v>
      </c>
      <c r="H72" s="2">
        <v>0</v>
      </c>
      <c r="I72" s="2">
        <v>0</v>
      </c>
    </row>
    <row r="73" spans="1:9" x14ac:dyDescent="0.2">
      <c r="A73" s="18" t="s">
        <v>234</v>
      </c>
      <c r="B73" s="18">
        <v>1</v>
      </c>
      <c r="C73" s="18"/>
      <c r="D73" s="18"/>
      <c r="E73" s="2" t="s">
        <v>502</v>
      </c>
      <c r="F73" s="2">
        <v>0</v>
      </c>
      <c r="G73" s="2">
        <v>1</v>
      </c>
      <c r="H73" s="2">
        <v>0</v>
      </c>
      <c r="I73" s="2">
        <v>0</v>
      </c>
    </row>
    <row r="74" spans="1:9" x14ac:dyDescent="0.2">
      <c r="A74" s="18" t="s">
        <v>235</v>
      </c>
      <c r="B74" s="18">
        <v>1</v>
      </c>
      <c r="C74" s="18"/>
      <c r="D74" s="18"/>
      <c r="E74" s="2" t="s">
        <v>502</v>
      </c>
      <c r="F74" s="2">
        <v>0</v>
      </c>
      <c r="G74" s="2">
        <v>1</v>
      </c>
      <c r="H74" s="2">
        <v>0</v>
      </c>
      <c r="I74" s="2">
        <v>0</v>
      </c>
    </row>
    <row r="75" spans="1:9" x14ac:dyDescent="0.2">
      <c r="A75" s="18" t="s">
        <v>236</v>
      </c>
      <c r="B75" s="18">
        <v>1</v>
      </c>
      <c r="C75" s="18"/>
      <c r="D75" s="18"/>
      <c r="E75" s="2" t="s">
        <v>502</v>
      </c>
      <c r="F75" s="2">
        <v>0</v>
      </c>
      <c r="G75" s="2">
        <v>1</v>
      </c>
      <c r="H75" s="2">
        <v>0</v>
      </c>
      <c r="I75" s="2">
        <v>0</v>
      </c>
    </row>
    <row r="76" spans="1:9" x14ac:dyDescent="0.2">
      <c r="A76" s="18" t="s">
        <v>237</v>
      </c>
      <c r="B76" s="18">
        <v>1</v>
      </c>
      <c r="C76" s="18"/>
      <c r="D76" s="18"/>
      <c r="E76" s="2" t="s">
        <v>502</v>
      </c>
      <c r="F76" s="2">
        <v>0</v>
      </c>
      <c r="G76" s="2">
        <v>1</v>
      </c>
      <c r="H76" s="2">
        <v>0</v>
      </c>
      <c r="I76" s="2">
        <v>0</v>
      </c>
    </row>
    <row r="77" spans="1:9" x14ac:dyDescent="0.2">
      <c r="A77" s="18" t="s">
        <v>238</v>
      </c>
      <c r="B77" s="18">
        <v>1</v>
      </c>
      <c r="C77" s="18"/>
      <c r="D77" s="18"/>
      <c r="E77" s="2" t="s">
        <v>502</v>
      </c>
      <c r="F77" s="2">
        <v>0</v>
      </c>
      <c r="G77" s="2">
        <v>1</v>
      </c>
      <c r="H77" s="2">
        <v>0</v>
      </c>
      <c r="I77" s="2">
        <v>0</v>
      </c>
    </row>
    <row r="78" spans="1:9" x14ac:dyDescent="0.2">
      <c r="A78" s="18" t="s">
        <v>239</v>
      </c>
      <c r="B78" s="18">
        <v>1</v>
      </c>
      <c r="C78" s="18"/>
      <c r="D78" s="18"/>
      <c r="E78" s="2" t="s">
        <v>502</v>
      </c>
      <c r="F78" s="2">
        <v>0</v>
      </c>
      <c r="G78" s="2">
        <v>1</v>
      </c>
      <c r="H78" s="2">
        <v>0</v>
      </c>
      <c r="I78" s="2">
        <v>0</v>
      </c>
    </row>
    <row r="79" spans="1:9" x14ac:dyDescent="0.2">
      <c r="A79" s="18" t="s">
        <v>240</v>
      </c>
      <c r="B79" s="18">
        <v>1</v>
      </c>
      <c r="C79" s="18"/>
      <c r="D79" s="18"/>
      <c r="E79" s="2" t="s">
        <v>502</v>
      </c>
      <c r="F79" s="2">
        <v>0</v>
      </c>
      <c r="G79" s="2">
        <v>1</v>
      </c>
      <c r="H79" s="2">
        <v>0</v>
      </c>
      <c r="I79" s="2">
        <v>0</v>
      </c>
    </row>
    <row r="80" spans="1:9" x14ac:dyDescent="0.2">
      <c r="A80" s="18" t="s">
        <v>241</v>
      </c>
      <c r="B80" s="18">
        <v>1</v>
      </c>
      <c r="C80" s="18"/>
      <c r="D80" s="18"/>
      <c r="E80" s="2" t="s">
        <v>502</v>
      </c>
      <c r="F80" s="2">
        <v>0</v>
      </c>
      <c r="G80" s="2">
        <v>1</v>
      </c>
      <c r="H80" s="2">
        <v>0</v>
      </c>
      <c r="I80" s="2">
        <v>0</v>
      </c>
    </row>
    <row r="81" spans="1:9" x14ac:dyDescent="0.2">
      <c r="A81" s="18" t="s">
        <v>242</v>
      </c>
      <c r="B81" s="18">
        <v>1</v>
      </c>
      <c r="C81" s="18"/>
      <c r="D81" s="18"/>
      <c r="E81" s="2" t="s">
        <v>502</v>
      </c>
      <c r="F81" s="2">
        <v>0</v>
      </c>
      <c r="G81" s="2">
        <v>1</v>
      </c>
      <c r="H81" s="2">
        <v>0</v>
      </c>
      <c r="I81" s="2">
        <v>0</v>
      </c>
    </row>
    <row r="82" spans="1:9" x14ac:dyDescent="0.2">
      <c r="A82" s="18" t="s">
        <v>243</v>
      </c>
      <c r="B82" s="18">
        <v>1</v>
      </c>
      <c r="C82" s="18"/>
      <c r="D82" s="18"/>
      <c r="E82" s="2" t="s">
        <v>502</v>
      </c>
      <c r="F82" s="2">
        <v>0</v>
      </c>
      <c r="G82" s="2">
        <v>1</v>
      </c>
      <c r="H82" s="2">
        <v>0</v>
      </c>
      <c r="I82" s="2">
        <v>0</v>
      </c>
    </row>
    <row r="83" spans="1:9" x14ac:dyDescent="0.2">
      <c r="A83" s="18" t="s">
        <v>244</v>
      </c>
      <c r="B83" s="18">
        <v>1</v>
      </c>
      <c r="C83" s="18"/>
      <c r="D83" s="18"/>
      <c r="E83" s="2" t="s">
        <v>502</v>
      </c>
      <c r="F83" s="2">
        <v>0</v>
      </c>
      <c r="G83" s="2">
        <v>1</v>
      </c>
      <c r="H83" s="2">
        <v>0</v>
      </c>
      <c r="I83" s="2">
        <v>0</v>
      </c>
    </row>
    <row r="84" spans="1:9" x14ac:dyDescent="0.2">
      <c r="A84" s="18" t="s">
        <v>245</v>
      </c>
      <c r="B84" s="18">
        <v>1</v>
      </c>
      <c r="C84" s="18"/>
      <c r="D84" s="18"/>
      <c r="E84" s="2" t="s">
        <v>502</v>
      </c>
      <c r="F84" s="2">
        <v>0</v>
      </c>
      <c r="G84" s="2">
        <v>1</v>
      </c>
      <c r="H84" s="2">
        <v>0</v>
      </c>
      <c r="I84" s="2">
        <v>0</v>
      </c>
    </row>
    <row r="85" spans="1:9" x14ac:dyDescent="0.2">
      <c r="A85" s="18" t="s">
        <v>246</v>
      </c>
      <c r="B85" s="18">
        <v>1</v>
      </c>
      <c r="C85" s="18"/>
      <c r="D85" s="18"/>
      <c r="E85" s="2" t="s">
        <v>502</v>
      </c>
      <c r="F85" s="2">
        <v>0</v>
      </c>
      <c r="G85" s="2">
        <v>1</v>
      </c>
      <c r="H85" s="2">
        <v>0</v>
      </c>
      <c r="I85" s="2">
        <v>0</v>
      </c>
    </row>
    <row r="86" spans="1:9" x14ac:dyDescent="0.2">
      <c r="A86" s="18" t="s">
        <v>247</v>
      </c>
      <c r="B86" s="18">
        <v>1</v>
      </c>
      <c r="C86" s="18"/>
      <c r="D86" s="18"/>
      <c r="E86" s="2" t="s">
        <v>502</v>
      </c>
      <c r="F86" s="2">
        <v>0</v>
      </c>
      <c r="G86" s="2">
        <v>1</v>
      </c>
      <c r="H86" s="2">
        <v>0</v>
      </c>
      <c r="I86" s="2">
        <v>0</v>
      </c>
    </row>
    <row r="87" spans="1:9" x14ac:dyDescent="0.2">
      <c r="A87" s="2" t="s">
        <v>310</v>
      </c>
      <c r="B87" s="2">
        <v>1</v>
      </c>
      <c r="E87" s="2" t="s">
        <v>502</v>
      </c>
      <c r="F87" s="2">
        <v>0</v>
      </c>
      <c r="G87" s="2">
        <v>0</v>
      </c>
      <c r="H87" s="2">
        <v>1</v>
      </c>
      <c r="I87" s="2">
        <v>0</v>
      </c>
    </row>
    <row r="88" spans="1:9" x14ac:dyDescent="0.2">
      <c r="A88" s="18" t="s">
        <v>248</v>
      </c>
      <c r="B88" s="18">
        <v>1</v>
      </c>
      <c r="C88" s="18"/>
      <c r="D88" s="18"/>
      <c r="E88" s="2" t="s">
        <v>502</v>
      </c>
      <c r="F88" s="2">
        <v>0</v>
      </c>
      <c r="G88" s="2">
        <v>1</v>
      </c>
      <c r="H88" s="2">
        <v>0</v>
      </c>
      <c r="I88" s="2">
        <v>0</v>
      </c>
    </row>
    <row r="89" spans="1:9" x14ac:dyDescent="0.2">
      <c r="A89" s="2" t="s">
        <v>311</v>
      </c>
      <c r="B89" s="2">
        <v>1</v>
      </c>
      <c r="E89" s="2" t="s">
        <v>502</v>
      </c>
      <c r="F89" s="2">
        <v>0</v>
      </c>
      <c r="G89" s="2">
        <v>0</v>
      </c>
      <c r="H89" s="2">
        <v>1</v>
      </c>
      <c r="I89" s="2">
        <v>0</v>
      </c>
    </row>
    <row r="90" spans="1:9" x14ac:dyDescent="0.2">
      <c r="A90" s="18" t="s">
        <v>249</v>
      </c>
      <c r="B90" s="18">
        <v>1</v>
      </c>
      <c r="C90" s="18"/>
      <c r="D90" s="18"/>
      <c r="E90" s="2" t="s">
        <v>502</v>
      </c>
      <c r="F90" s="2">
        <v>0</v>
      </c>
      <c r="G90" s="2">
        <v>1</v>
      </c>
      <c r="H90" s="2">
        <v>0</v>
      </c>
      <c r="I90" s="2">
        <v>0</v>
      </c>
    </row>
    <row r="91" spans="1:9" x14ac:dyDescent="0.2">
      <c r="A91" s="18" t="s">
        <v>250</v>
      </c>
      <c r="B91" s="18">
        <v>1</v>
      </c>
      <c r="C91" s="18"/>
      <c r="D91" s="18"/>
      <c r="E91" s="2" t="s">
        <v>502</v>
      </c>
      <c r="F91" s="2">
        <v>0</v>
      </c>
      <c r="G91" s="2">
        <v>1</v>
      </c>
      <c r="H91" s="2">
        <v>0</v>
      </c>
      <c r="I91" s="2">
        <v>0</v>
      </c>
    </row>
    <row r="92" spans="1:9" x14ac:dyDescent="0.2">
      <c r="A92" s="18" t="s">
        <v>252</v>
      </c>
      <c r="B92" s="18">
        <v>1</v>
      </c>
      <c r="C92" s="18"/>
      <c r="D92" s="18"/>
      <c r="E92" s="2" t="s">
        <v>502</v>
      </c>
      <c r="F92" s="2">
        <v>0</v>
      </c>
      <c r="G92" s="2">
        <v>1</v>
      </c>
      <c r="H92" s="2">
        <v>0</v>
      </c>
      <c r="I92" s="2">
        <v>0</v>
      </c>
    </row>
    <row r="93" spans="1:9" x14ac:dyDescent="0.2">
      <c r="A93" s="2" t="s">
        <v>312</v>
      </c>
      <c r="B93" s="2">
        <v>1</v>
      </c>
      <c r="E93" s="2" t="s">
        <v>502</v>
      </c>
      <c r="F93" s="2">
        <v>0</v>
      </c>
      <c r="G93" s="2">
        <v>0</v>
      </c>
      <c r="H93" s="2">
        <v>1</v>
      </c>
      <c r="I93" s="2">
        <v>0</v>
      </c>
    </row>
    <row r="94" spans="1:9" x14ac:dyDescent="0.2">
      <c r="A94" s="18" t="s">
        <v>253</v>
      </c>
      <c r="B94" s="18">
        <v>1</v>
      </c>
      <c r="C94" s="18"/>
      <c r="D94" s="18"/>
      <c r="E94" s="2" t="s">
        <v>502</v>
      </c>
      <c r="F94" s="2">
        <v>0</v>
      </c>
      <c r="G94" s="2">
        <v>1</v>
      </c>
      <c r="H94" s="2">
        <v>0</v>
      </c>
      <c r="I94" s="2">
        <v>0</v>
      </c>
    </row>
    <row r="95" spans="1:9" x14ac:dyDescent="0.2">
      <c r="A95" s="2" t="s">
        <v>313</v>
      </c>
      <c r="B95" s="2">
        <v>1</v>
      </c>
      <c r="E95" s="2" t="s">
        <v>502</v>
      </c>
      <c r="F95" s="2">
        <v>0</v>
      </c>
      <c r="G95" s="2">
        <v>0</v>
      </c>
      <c r="H95" s="2">
        <v>1</v>
      </c>
      <c r="I95" s="2">
        <v>0</v>
      </c>
    </row>
    <row r="96" spans="1:9" x14ac:dyDescent="0.2">
      <c r="A96" s="18" t="s">
        <v>255</v>
      </c>
      <c r="B96" s="18">
        <v>1</v>
      </c>
      <c r="C96" s="18"/>
      <c r="D96" s="18"/>
      <c r="E96" s="2" t="s">
        <v>502</v>
      </c>
      <c r="F96" s="2">
        <v>0</v>
      </c>
      <c r="G96" s="2">
        <v>1</v>
      </c>
      <c r="H96" s="2">
        <v>0</v>
      </c>
      <c r="I96" s="2">
        <v>0</v>
      </c>
    </row>
    <row r="97" spans="1:9" x14ac:dyDescent="0.2">
      <c r="A97" s="18" t="s">
        <v>256</v>
      </c>
      <c r="B97" s="18">
        <v>1</v>
      </c>
      <c r="C97" s="18"/>
      <c r="D97" s="18"/>
      <c r="E97" s="2" t="s">
        <v>502</v>
      </c>
      <c r="F97" s="2">
        <v>0</v>
      </c>
      <c r="G97" s="2">
        <v>1</v>
      </c>
      <c r="H97" s="2">
        <v>0</v>
      </c>
      <c r="I97" s="2">
        <v>0</v>
      </c>
    </row>
    <row r="98" spans="1:9" x14ac:dyDescent="0.2">
      <c r="A98" s="18" t="s">
        <v>257</v>
      </c>
      <c r="B98" s="18">
        <v>1</v>
      </c>
      <c r="C98" s="18"/>
      <c r="D98" s="18"/>
      <c r="E98" s="2" t="s">
        <v>502</v>
      </c>
      <c r="F98" s="2">
        <v>0</v>
      </c>
      <c r="G98" s="2">
        <v>1</v>
      </c>
      <c r="H98" s="2">
        <v>0</v>
      </c>
      <c r="I98" s="2">
        <v>0</v>
      </c>
    </row>
    <row r="99" spans="1:9" x14ac:dyDescent="0.2">
      <c r="A99" s="18" t="s">
        <v>258</v>
      </c>
      <c r="B99" s="18">
        <v>1</v>
      </c>
      <c r="C99" s="18"/>
      <c r="D99" s="18"/>
      <c r="E99" s="2" t="s">
        <v>502</v>
      </c>
      <c r="F99" s="2">
        <v>0</v>
      </c>
      <c r="G99" s="2">
        <v>1</v>
      </c>
      <c r="H99" s="2">
        <v>0</v>
      </c>
      <c r="I99" s="2">
        <v>0</v>
      </c>
    </row>
    <row r="100" spans="1:9" x14ac:dyDescent="0.2">
      <c r="A100" s="18" t="s">
        <v>259</v>
      </c>
      <c r="B100" s="18">
        <v>1</v>
      </c>
      <c r="C100" s="18"/>
      <c r="D100" s="18"/>
      <c r="E100" s="2" t="s">
        <v>502</v>
      </c>
      <c r="F100" s="2">
        <v>0</v>
      </c>
      <c r="G100" s="2">
        <v>1</v>
      </c>
      <c r="H100" s="2">
        <v>0</v>
      </c>
      <c r="I100" s="2">
        <v>0</v>
      </c>
    </row>
    <row r="101" spans="1:9" x14ac:dyDescent="0.2">
      <c r="A101" s="18" t="s">
        <v>260</v>
      </c>
      <c r="B101" s="18">
        <v>1</v>
      </c>
      <c r="C101" s="18"/>
      <c r="D101" s="18"/>
      <c r="E101" s="2" t="s">
        <v>502</v>
      </c>
      <c r="F101" s="2">
        <v>0</v>
      </c>
      <c r="G101" s="2">
        <v>1</v>
      </c>
      <c r="H101" s="2">
        <v>0</v>
      </c>
      <c r="I101" s="2">
        <v>0</v>
      </c>
    </row>
    <row r="102" spans="1:9" x14ac:dyDescent="0.2">
      <c r="A102" s="18" t="s">
        <v>261</v>
      </c>
      <c r="B102" s="18">
        <v>1</v>
      </c>
      <c r="C102" s="18"/>
      <c r="D102" s="18"/>
      <c r="E102" s="2" t="s">
        <v>502</v>
      </c>
      <c r="F102" s="2">
        <v>0</v>
      </c>
      <c r="G102" s="2">
        <v>1</v>
      </c>
      <c r="H102" s="2">
        <v>0</v>
      </c>
      <c r="I102" s="2">
        <v>0</v>
      </c>
    </row>
    <row r="103" spans="1:9" x14ac:dyDescent="0.2">
      <c r="A103" s="18" t="s">
        <v>262</v>
      </c>
      <c r="B103" s="18">
        <v>1</v>
      </c>
      <c r="C103" s="18"/>
      <c r="D103" s="18"/>
      <c r="E103" s="2" t="s">
        <v>502</v>
      </c>
      <c r="F103" s="2">
        <v>0</v>
      </c>
      <c r="G103" s="2">
        <v>1</v>
      </c>
      <c r="H103" s="2">
        <v>0</v>
      </c>
      <c r="I103" s="2">
        <v>0</v>
      </c>
    </row>
    <row r="104" spans="1:9" x14ac:dyDescent="0.2">
      <c r="A104" s="18" t="s">
        <v>263</v>
      </c>
      <c r="B104" s="18">
        <v>1</v>
      </c>
      <c r="C104" s="18"/>
      <c r="D104" s="18"/>
      <c r="E104" s="2" t="s">
        <v>502</v>
      </c>
      <c r="F104" s="2">
        <v>0</v>
      </c>
      <c r="G104" s="2">
        <v>1</v>
      </c>
      <c r="H104" s="2">
        <v>0</v>
      </c>
      <c r="I104" s="2">
        <v>0</v>
      </c>
    </row>
    <row r="105" spans="1:9" x14ac:dyDescent="0.2">
      <c r="A105" s="18" t="s">
        <v>264</v>
      </c>
      <c r="B105" s="18">
        <v>1</v>
      </c>
      <c r="C105" s="18"/>
      <c r="D105" s="18"/>
      <c r="E105" s="2" t="s">
        <v>502</v>
      </c>
      <c r="F105" s="2">
        <v>0</v>
      </c>
      <c r="G105" s="2">
        <v>1</v>
      </c>
      <c r="H105" s="2">
        <v>0</v>
      </c>
      <c r="I105" s="2">
        <v>0</v>
      </c>
    </row>
    <row r="106" spans="1:9" x14ac:dyDescent="0.2">
      <c r="A106" s="18" t="s">
        <v>265</v>
      </c>
      <c r="B106" s="18">
        <v>1</v>
      </c>
      <c r="C106" s="18"/>
      <c r="D106" s="18"/>
      <c r="E106" s="2" t="s">
        <v>502</v>
      </c>
      <c r="F106" s="2">
        <v>0</v>
      </c>
      <c r="G106" s="2">
        <v>1</v>
      </c>
      <c r="H106" s="2">
        <v>0</v>
      </c>
      <c r="I106" s="2">
        <v>0</v>
      </c>
    </row>
    <row r="107" spans="1:9" x14ac:dyDescent="0.2">
      <c r="A107" s="2" t="s">
        <v>68</v>
      </c>
      <c r="B107" s="2">
        <v>1</v>
      </c>
      <c r="E107" s="2" t="s">
        <v>502</v>
      </c>
      <c r="F107" s="2">
        <v>0</v>
      </c>
      <c r="G107" s="2">
        <v>1</v>
      </c>
      <c r="H107" s="2">
        <v>0</v>
      </c>
      <c r="I107" s="2">
        <v>0</v>
      </c>
    </row>
    <row r="108" spans="1:9" s="44" customFormat="1" ht="15" x14ac:dyDescent="0.25">
      <c r="A108" s="55" t="s">
        <v>673</v>
      </c>
      <c r="B108" s="44">
        <f>SUM(B2:B107)</f>
        <v>106</v>
      </c>
      <c r="C108" s="44">
        <f>SUM(C2:C107)</f>
        <v>0</v>
      </c>
      <c r="D108" s="44">
        <f>SUM(D2:D107)</f>
        <v>0</v>
      </c>
      <c r="E108" s="44">
        <f>COUNTA(E2:E107)</f>
        <v>106</v>
      </c>
      <c r="F108" s="44">
        <f>SUM(F2:F107)</f>
        <v>0</v>
      </c>
      <c r="G108" s="44">
        <f>SUM(G2:G107)</f>
        <v>93</v>
      </c>
      <c r="H108" s="44">
        <f>SUM(H2:H107)</f>
        <v>13</v>
      </c>
      <c r="I108" s="44">
        <f>SUM(I2:I107)</f>
        <v>0</v>
      </c>
    </row>
  </sheetData>
  <pageMargins left="0.7" right="0.7" top="0.75" bottom="0.75" header="0.3" footer="0.3"/>
  <pageSetup paperSize="9" orientation="portrait" horizontalDpi="4294967292" verticalDpi="4294967292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iarienummer xmlns="39799181-0404-4fb7-b084-4385769b4240" xsi:nil="true"/>
    <k46d94c0acf84ab9a79866a9d8b1905f xmlns="39799181-0404-4fb7-b084-4385769b42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Kommittéer</TermName>
          <TermId xmlns="http://schemas.microsoft.com/office/infopath/2007/PartnerControls">e801c9c4-e9ca-4cf4-ba80-8fa13515fc71</TermId>
        </TermInfo>
      </Terms>
    </k46d94c0acf84ab9a79866a9d8b1905f>
    <Sekretess xmlns="39799181-0404-4fb7-b084-4385769b4240" xsi:nil="true"/>
    <c9cd366cc722410295b9eacffbd73909 xmlns="39799181-0404-4fb7-b084-4385769b4240">
      <Terms xmlns="http://schemas.microsoft.com/office/infopath/2007/PartnerControls">
        <TermInfo xmlns="http://schemas.microsoft.com/office/infopath/2007/PartnerControls">
          <TermName xmlns="http://schemas.microsoft.com/office/infopath/2007/PartnerControls">4.4.9. Övrigt internationellt utvecklingssamarbete</TermName>
          <TermId xmlns="http://schemas.microsoft.com/office/infopath/2007/PartnerControls">3e80f863-3f41-4b10-95d6-fe16dd42d168</TermId>
        </TermInfo>
      </Terms>
    </c9cd366cc722410295b9eacffbd73909>
    <Nyckelord xmlns="39799181-0404-4fb7-b084-4385769b4240" xsi:nil="true"/>
    <TaxCatchAll xmlns="39799181-0404-4fb7-b084-4385769b4240">
      <Value>3</Value>
      <Value>2</Value>
    </TaxCatchAll>
    <_dlc_DocId xmlns="39799181-0404-4fb7-b084-4385769b4240">F2QSE2P5DMMV-8-1739</_dlc_DocId>
    <_dlc_DocIdUrl xmlns="39799181-0404-4fb7-b084-4385769b4240">
      <Url>http://rkdhs-kom/yta/UD_2013_01/_layouts/DocIdRedir.aspx?ID=F2QSE2P5DMMV-8-1739</Url>
      <Description>F2QSE2P5DMMV-8-1739</Description>
    </_dlc_DocIdUrl>
  </documentManagement>
</p:properties>
</file>

<file path=customXml/item4.xml><?xml version="1.0" encoding="utf-8"?>
<LongProperties xmlns="http://schemas.microsoft.com/office/2006/metadata/longProperties"/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DDB3ADD735FDEC48864AA81570D0F47F" ma:contentTypeVersion="7" ma:contentTypeDescription="Skapa ett nytt dokument." ma:contentTypeScope="" ma:versionID="cf3fcb4fcca8bf55066ca74e55f300df">
  <xsd:schema xmlns:xsd="http://www.w3.org/2001/XMLSchema" xmlns:xs="http://www.w3.org/2001/XMLSchema" xmlns:p="http://schemas.microsoft.com/office/2006/metadata/properties" xmlns:ns2="39799181-0404-4fb7-b084-4385769b4240" targetNamespace="http://schemas.microsoft.com/office/2006/metadata/properties" ma:root="true" ma:fieldsID="007a410bb34952279ec54dc11dc5d00c" ns2:_="">
    <xsd:import namespace="39799181-0404-4fb7-b084-4385769b424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k46d94c0acf84ab9a79866a9d8b1905f" minOccurs="0"/>
                <xsd:element ref="ns2:TaxCatchAll" minOccurs="0"/>
                <xsd:element ref="ns2:TaxCatchAllLabel" minOccurs="0"/>
                <xsd:element ref="ns2:c9cd366cc722410295b9eacffbd73909" minOccurs="0"/>
                <xsd:element ref="ns2:Diarienummer" minOccurs="0"/>
                <xsd:element ref="ns2:Nyckelord" minOccurs="0"/>
                <xsd:element ref="ns2:Sekret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99181-0404-4fb7-b084-4385769b424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Spara ID" ma:description="Behåll ID vid tillägg." ma:hidden="true" ma:internalName="_dlc_DocIdPersistId" ma:readOnly="true">
      <xsd:simpleType>
        <xsd:restriction base="dms:Boolean"/>
      </xsd:simpleType>
    </xsd:element>
    <xsd:element name="k46d94c0acf84ab9a79866a9d8b1905f" ma:index="11" nillable="true" ma:taxonomy="true" ma:internalName="k46d94c0acf84ab9a79866a9d8b1905f" ma:taxonomyFieldName="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Global taxonomikolumn" ma:description="" ma:hidden="true" ma:list="{ea6b83ad-0548-40a7-82d7-09f49f5a2fe2}" ma:internalName="TaxCatchAll" ma:showField="CatchAllData" ma:web="39799181-0404-4fb7-b084-4385769b4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Global taxonomikolumn1" ma:description="" ma:hidden="true" ma:list="{ea6b83ad-0548-40a7-82d7-09f49f5a2fe2}" ma:internalName="TaxCatchAllLabel" ma:readOnly="true" ma:showField="CatchAllDataLabel" ma:web="39799181-0404-4fb7-b084-4385769b424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9cd366cc722410295b9eacffbd73909" ma:index="15" nillable="true" ma:taxonomy="true" ma:internalName="c9cd366cc722410295b9eacffbd73909" ma:taxonomyFieldName="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iarienummer" ma:index="17" nillable="true" ma:displayName="Diarienummer" ma:description="" ma:internalName="Diarienummer">
      <xsd:simpleType>
        <xsd:restriction base="dms:Text"/>
      </xsd:simpleType>
    </xsd:element>
    <xsd:element name="Nyckelord" ma:index="18" nillable="true" ma:displayName="Nyckelord" ma:description="" ma:internalName="Nyckelord">
      <xsd:simpleType>
        <xsd:restriction base="dms:Text"/>
      </xsd:simpleType>
    </xsd:element>
    <xsd:element name="Sekretess" ma:index="19" nillable="true" ma:displayName="Sekretess m.m." ma:description="Dokumentet innehåller uppgifter som kan antas vara hemliga enligt SekrL eller som är mycket skyddsvärda av någon annan anledning." ma:internalName="Sekretess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7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1948CF-0480-4023-85BC-14A0E5E2D454}"/>
</file>

<file path=customXml/itemProps2.xml><?xml version="1.0" encoding="utf-8"?>
<ds:datastoreItem xmlns:ds="http://schemas.openxmlformats.org/officeDocument/2006/customXml" ds:itemID="{EABDAB2E-8234-496E-8365-7CAAAA148EEF}"/>
</file>

<file path=customXml/itemProps3.xml><?xml version="1.0" encoding="utf-8"?>
<ds:datastoreItem xmlns:ds="http://schemas.openxmlformats.org/officeDocument/2006/customXml" ds:itemID="{B7E57EC6-3827-41FE-9F50-B438F9AA838A}"/>
</file>

<file path=customXml/itemProps4.xml><?xml version="1.0" encoding="utf-8"?>
<ds:datastoreItem xmlns:ds="http://schemas.openxmlformats.org/officeDocument/2006/customXml" ds:itemID="{DAA2B4AC-ECFF-405A-BA7F-939F5DECB494}"/>
</file>

<file path=customXml/itemProps5.xml><?xml version="1.0" encoding="utf-8"?>
<ds:datastoreItem xmlns:ds="http://schemas.openxmlformats.org/officeDocument/2006/customXml" ds:itemID="{FEAC8DB6-F11D-4B0D-8C07-31BE6B0D8889}"/>
</file>

<file path=customXml/itemProps6.xml><?xml version="1.0" encoding="utf-8"?>
<ds:datastoreItem xmlns:ds="http://schemas.openxmlformats.org/officeDocument/2006/customXml" ds:itemID="{092FB381-DD76-4721-9BB0-66B4E62EFF08}"/>
</file>

<file path=customXml/itemProps7.xml><?xml version="1.0" encoding="utf-8"?>
<ds:datastoreItem xmlns:ds="http://schemas.openxmlformats.org/officeDocument/2006/customXml" ds:itemID="{30458DD0-C021-4413-A6B9-9DA1CE729E4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26</vt:i4>
      </vt:variant>
      <vt:variant>
        <vt:lpstr>Namngivna områden</vt:lpstr>
      </vt:variant>
      <vt:variant>
        <vt:i4>2</vt:i4>
      </vt:variant>
    </vt:vector>
  </HeadingPairs>
  <TitlesOfParts>
    <vt:vector size="28" baseType="lpstr">
      <vt:lpstr>MISC_utland_anv_ej</vt:lpstr>
      <vt:lpstr>MISC_anv_ej</vt:lpstr>
      <vt:lpstr>WMU</vt:lpstr>
      <vt:lpstr>MISC</vt:lpstr>
      <vt:lpstr>PRIVAT SC 0 fakt</vt:lpstr>
      <vt:lpstr>PRIVAT&lt;1mil</vt:lpstr>
      <vt:lpstr>PRIVAT&gt;1mil</vt:lpstr>
      <vt:lpstr>CSO_utländska</vt:lpstr>
      <vt:lpstr>CSO u bidrag</vt:lpstr>
      <vt:lpstr>CSO_1milj-</vt:lpstr>
      <vt:lpstr>RödaKorsetberäkn_CSO_övr_1milj</vt:lpstr>
      <vt:lpstr>CSO_övr_1milj+</vt:lpstr>
      <vt:lpstr>CSO_SMR</vt:lpstr>
      <vt:lpstr>CSO_FS_1milj+</vt:lpstr>
      <vt:lpstr>CSO_PAO</vt:lpstr>
      <vt:lpstr>CSO_RAM</vt:lpstr>
      <vt:lpstr>CSO_TOTALER</vt:lpstr>
      <vt:lpstr>SRL</vt:lpstr>
      <vt:lpstr>U-forsk</vt:lpstr>
      <vt:lpstr>EDU utrakningar</vt:lpstr>
      <vt:lpstr>EDU bokf</vt:lpstr>
      <vt:lpstr>OFFSEKT_ovrigt</vt:lpstr>
      <vt:lpstr>GOV utrakningar</vt:lpstr>
      <vt:lpstr>GOV bokf</vt:lpstr>
      <vt:lpstr>Uppsala_Studieavgiftsberäkning</vt:lpstr>
      <vt:lpstr>Totaler</vt:lpstr>
      <vt:lpstr>WMU!_ftn1</vt:lpstr>
      <vt:lpstr>WMU!_ftnref1</vt:lpstr>
    </vt:vector>
  </TitlesOfParts>
  <Company>Regeringskansliet RK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Svenskt bistånd med slutanvändning i Sverige</dc:title>
  <dc:creator>Jan Pettersson</dc:creator>
  <cp:lastModifiedBy>Jan Pettersson</cp:lastModifiedBy>
  <cp:lastPrinted>2014-11-24T07:40:20Z</cp:lastPrinted>
  <dcterms:created xsi:type="dcterms:W3CDTF">2011-10-26T09:40:34Z</dcterms:created>
  <dcterms:modified xsi:type="dcterms:W3CDTF">2015-02-20T14:18:37Z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0x01010053E1D612BA3F4E21AA250ECD751942B300DDB3ADD735FDEC48864AA81570D0F47F</vt:lpwstr>
  </property>
  <property fmtid="{D5CDD505-2E9C-101B-9397-08002B2CF9AE}" pid="3" name="Departementsenhet">
    <vt:lpwstr>2;#Kommittéer|e801c9c4-e9ca-4cf4-ba80-8fa13515fc71</vt:lpwstr>
  </property>
  <property fmtid="{D5CDD505-2E9C-101B-9397-08002B2CF9AE}" pid="4" name="Aktivitetskategori">
    <vt:lpwstr>3;#4.4.9. Övrigt internationellt utvecklingssamarbete|3e80f863-3f41-4b10-95d6-fe16dd42d168</vt:lpwstr>
  </property>
  <property fmtid="{D5CDD505-2E9C-101B-9397-08002B2CF9AE}" pid="5" name="_dlc_DocIdItemGuid">
    <vt:lpwstr>fb5a8ff5-5c9d-408c-b8b0-a32dc4eec7d4</vt:lpwstr>
  </property>
  <property fmtid="{D5CDD505-2E9C-101B-9397-08002B2CF9AE}" pid="6" name="_dlc_DocId">
    <vt:lpwstr>JR4P46U7VEJN-3-2862</vt:lpwstr>
  </property>
  <property fmtid="{D5CDD505-2E9C-101B-9397-08002B2CF9AE}" pid="7" name="_dlc_DocIdUrl">
    <vt:lpwstr>http://rkdhs/personal/jpn0227a/_layouts/DocIdRedir.aspx?ID=JR4P46U7VEJN-3-2862, JR4P46U7VEJN-3-2862</vt:lpwstr>
  </property>
</Properties>
</file>